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ulisan Artikel 2020-2021\Artikel 4\"/>
    </mc:Choice>
  </mc:AlternateContent>
  <bookViews>
    <workbookView xWindow="-120" yWindow="-120" windowWidth="20736" windowHeight="11160" activeTab="8"/>
  </bookViews>
  <sheets>
    <sheet name="T1" sheetId="1" r:id="rId1"/>
    <sheet name="T2" sheetId="9" r:id="rId2"/>
    <sheet name="T3" sheetId="2" r:id="rId3"/>
    <sheet name="TT1" sheetId="5" r:id="rId4"/>
    <sheet name="TT2" sheetId="6" r:id="rId5"/>
    <sheet name="TT3" sheetId="15" r:id="rId6"/>
    <sheet name="KH" sheetId="11" r:id="rId7"/>
    <sheet name="Resume KH" sheetId="12" r:id="rId8"/>
    <sheet name="Resume All" sheetId="18" r:id="rId9"/>
    <sheet name="Loss C" sheetId="21" r:id="rId10"/>
    <sheet name="Fisik &amp; C" sheetId="17" r:id="rId11"/>
    <sheet name="Peat Dept, Subsiden" sheetId="16" r:id="rId12"/>
  </sheets>
  <externalReferences>
    <externalReference r:id="rId13"/>
    <externalReference r:id="rId14"/>
  </externalReferenc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" i="12" l="1"/>
  <c r="J3" i="12"/>
  <c r="I3" i="12"/>
  <c r="H3" i="12"/>
  <c r="G3" i="12"/>
  <c r="E3" i="21" l="1"/>
  <c r="Y13" i="18" l="1"/>
  <c r="AJ112" i="18"/>
  <c r="AC112" i="18"/>
  <c r="AD112" i="18"/>
  <c r="AB112" i="18"/>
  <c r="AJ111" i="18"/>
  <c r="AD111" i="18"/>
  <c r="AC111" i="18"/>
  <c r="AB111" i="18"/>
  <c r="AF109" i="18"/>
  <c r="AJ107" i="18"/>
  <c r="AI107" i="18"/>
  <c r="AH107" i="18"/>
  <c r="AG107" i="18"/>
  <c r="AF107" i="18"/>
  <c r="AE107" i="18"/>
  <c r="AC107" i="18"/>
  <c r="AD107" i="18"/>
  <c r="AB107" i="18"/>
  <c r="AJ106" i="18"/>
  <c r="AI106" i="18"/>
  <c r="AF106" i="18"/>
  <c r="AE106" i="18"/>
  <c r="AD106" i="18"/>
  <c r="AC106" i="18"/>
  <c r="AB106" i="18"/>
  <c r="AE102" i="18"/>
  <c r="AD102" i="18"/>
  <c r="AD101" i="18"/>
  <c r="AC101" i="18"/>
  <c r="AB101" i="18"/>
  <c r="AD100" i="18"/>
  <c r="AC100" i="18"/>
  <c r="AB100" i="18"/>
  <c r="AA101" i="18"/>
  <c r="AA100" i="18"/>
  <c r="W13" i="18"/>
  <c r="V13" i="18"/>
  <c r="AF90" i="18"/>
  <c r="AD81" i="18"/>
  <c r="AC81" i="18"/>
  <c r="AB81" i="18"/>
  <c r="AA82" i="18"/>
  <c r="AA81" i="18"/>
  <c r="W11" i="18"/>
  <c r="V11" i="18"/>
  <c r="Y9" i="18"/>
  <c r="AJ74" i="18"/>
  <c r="AC74" i="18"/>
  <c r="AD74" i="18"/>
  <c r="AB74" i="18"/>
  <c r="AJ73" i="18"/>
  <c r="AD73" i="18"/>
  <c r="AC73" i="18"/>
  <c r="AB73" i="18"/>
  <c r="AF71" i="18"/>
  <c r="AJ69" i="18"/>
  <c r="AI69" i="18"/>
  <c r="AH69" i="18"/>
  <c r="AG69" i="18"/>
  <c r="AF69" i="18"/>
  <c r="AE69" i="18"/>
  <c r="AC69" i="18"/>
  <c r="AD69" i="18"/>
  <c r="AB69" i="18"/>
  <c r="AJ68" i="18"/>
  <c r="AI68" i="18"/>
  <c r="AF68" i="18"/>
  <c r="AE68" i="18"/>
  <c r="AD68" i="18"/>
  <c r="AC68" i="18"/>
  <c r="AB68" i="18"/>
  <c r="AE64" i="18"/>
  <c r="AD64" i="18"/>
  <c r="AD63" i="18"/>
  <c r="AC63" i="18"/>
  <c r="AB63" i="18"/>
  <c r="AD62" i="18"/>
  <c r="AC62" i="18"/>
  <c r="AB62" i="18"/>
  <c r="AA63" i="18"/>
  <c r="AA62" i="18"/>
  <c r="W9" i="18"/>
  <c r="W10" i="18"/>
  <c r="V10" i="18"/>
  <c r="V9" i="18"/>
  <c r="AJ55" i="18"/>
  <c r="AC55" i="18"/>
  <c r="AD55" i="18"/>
  <c r="AB55" i="18"/>
  <c r="AJ54" i="18"/>
  <c r="AD54" i="18"/>
  <c r="AC54" i="18"/>
  <c r="AB54" i="18"/>
  <c r="AF52" i="18"/>
  <c r="AJ50" i="18"/>
  <c r="AI50" i="18"/>
  <c r="AH50" i="18"/>
  <c r="AG50" i="18"/>
  <c r="AF50" i="18"/>
  <c r="AE50" i="18"/>
  <c r="AC50" i="18"/>
  <c r="AD50" i="18"/>
  <c r="AB50" i="18"/>
  <c r="AJ49" i="18"/>
  <c r="AI49" i="18"/>
  <c r="AF49" i="18"/>
  <c r="AE49" i="18"/>
  <c r="AD49" i="18"/>
  <c r="AC49" i="18"/>
  <c r="AB49" i="18"/>
  <c r="AE45" i="18"/>
  <c r="AD45" i="18"/>
  <c r="AD44" i="18"/>
  <c r="AC44" i="18"/>
  <c r="AB44" i="18"/>
  <c r="AD43" i="18"/>
  <c r="AC43" i="18"/>
  <c r="AB43" i="18"/>
  <c r="AA44" i="18"/>
  <c r="AA43" i="18"/>
  <c r="W8" i="18"/>
  <c r="W7" i="18"/>
  <c r="V8" i="18"/>
  <c r="V7" i="18"/>
  <c r="Y5" i="18"/>
  <c r="AJ36" i="18"/>
  <c r="AC36" i="18"/>
  <c r="AD36" i="18"/>
  <c r="AB36" i="18"/>
  <c r="AJ35" i="18"/>
  <c r="AD35" i="18"/>
  <c r="AC35" i="18"/>
  <c r="AB35" i="18"/>
  <c r="AF33" i="18"/>
  <c r="AJ31" i="18"/>
  <c r="AI31" i="18"/>
  <c r="AH31" i="18"/>
  <c r="AG31" i="18"/>
  <c r="AF31" i="18"/>
  <c r="AE31" i="18"/>
  <c r="AC31" i="18"/>
  <c r="AD31" i="18"/>
  <c r="AB31" i="18"/>
  <c r="AJ30" i="18"/>
  <c r="AI30" i="18"/>
  <c r="AF30" i="18"/>
  <c r="AE30" i="18"/>
  <c r="AD30" i="18"/>
  <c r="AC30" i="18"/>
  <c r="AB30" i="18"/>
  <c r="AE26" i="18"/>
  <c r="AD26" i="18"/>
  <c r="AD25" i="18"/>
  <c r="AC25" i="18"/>
  <c r="AB25" i="18"/>
  <c r="AD24" i="18"/>
  <c r="AC24" i="18"/>
  <c r="AB24" i="18"/>
  <c r="AA25" i="18"/>
  <c r="AA24" i="18"/>
  <c r="W6" i="18"/>
  <c r="W5" i="18"/>
  <c r="V6" i="18"/>
  <c r="V5" i="18"/>
  <c r="AF54" i="18"/>
  <c r="AE54" i="18"/>
  <c r="AE36" i="18"/>
  <c r="AF36" i="18"/>
  <c r="AF112" i="18"/>
  <c r="AE73" i="18"/>
  <c r="AF55" i="18"/>
  <c r="AE112" i="18"/>
  <c r="AF35" i="18"/>
  <c r="AE35" i="18"/>
  <c r="AE55" i="18"/>
  <c r="AF111" i="18"/>
  <c r="AE111" i="18"/>
  <c r="AE74" i="18"/>
  <c r="AF74" i="18"/>
  <c r="AF73" i="18"/>
  <c r="AH36" i="18" l="1"/>
  <c r="AG36" i="18"/>
  <c r="AH55" i="18"/>
  <c r="AG55" i="18"/>
  <c r="AH74" i="18"/>
  <c r="AG74" i="18"/>
  <c r="AG112" i="18"/>
  <c r="AH112" i="18"/>
  <c r="AI36" i="18"/>
  <c r="AI55" i="18"/>
  <c r="Y7" i="18"/>
  <c r="AI74" i="18"/>
  <c r="AI35" i="18"/>
  <c r="AI54" i="18"/>
  <c r="AI73" i="18"/>
  <c r="AI111" i="18"/>
  <c r="AI112" i="18"/>
  <c r="AA2" i="18"/>
  <c r="AF14" i="18"/>
  <c r="AA6" i="18"/>
  <c r="AA5" i="18"/>
  <c r="L32" i="18" l="1"/>
  <c r="M32" i="18"/>
  <c r="O32" i="18"/>
  <c r="P32" i="18"/>
  <c r="K32" i="18"/>
  <c r="D32" i="18"/>
  <c r="E32" i="18"/>
  <c r="G32" i="18"/>
  <c r="H32" i="18"/>
  <c r="C32" i="18"/>
  <c r="L9" i="18"/>
  <c r="M9" i="18"/>
  <c r="O9" i="18"/>
  <c r="P9" i="18"/>
  <c r="K9" i="18"/>
  <c r="F10" i="18"/>
  <c r="F14" i="18"/>
  <c r="F22" i="18"/>
  <c r="D9" i="18"/>
  <c r="E9" i="18"/>
  <c r="G9" i="18"/>
  <c r="H9" i="18"/>
  <c r="C9" i="18"/>
  <c r="Z1" i="12"/>
  <c r="W1" i="12"/>
  <c r="T1" i="12"/>
  <c r="C5" i="21"/>
  <c r="D3" i="18"/>
  <c r="D13" i="18" s="1"/>
  <c r="E3" i="18"/>
  <c r="E12" i="18" s="1"/>
  <c r="F3" i="18"/>
  <c r="F11" i="18" s="1"/>
  <c r="D4" i="18"/>
  <c r="B4" i="21" s="1"/>
  <c r="E4" i="18"/>
  <c r="E11" i="18" s="1"/>
  <c r="F4" i="18"/>
  <c r="C4" i="21" s="1"/>
  <c r="G4" i="18"/>
  <c r="D4" i="21" s="1"/>
  <c r="D5" i="18"/>
  <c r="B5" i="21" s="1"/>
  <c r="E5" i="18"/>
  <c r="F5" i="18"/>
  <c r="E26" i="18"/>
  <c r="N10" i="18"/>
  <c r="L18" i="18"/>
  <c r="M10" i="18"/>
  <c r="L11" i="18"/>
  <c r="M18" i="18"/>
  <c r="N17" i="18"/>
  <c r="M11" i="18"/>
  <c r="L10" i="18"/>
  <c r="N11" i="18"/>
  <c r="N18" i="18"/>
  <c r="D26" i="18"/>
  <c r="L17" i="18"/>
  <c r="D27" i="18"/>
  <c r="E27" i="18"/>
  <c r="M17" i="18"/>
  <c r="F27" i="18"/>
  <c r="F26" i="18"/>
  <c r="X7" i="18" l="1"/>
  <c r="X9" i="18"/>
  <c r="X5" i="18"/>
  <c r="E4" i="21"/>
  <c r="H4" i="18" s="1"/>
  <c r="E23" i="18"/>
  <c r="D20" i="18"/>
  <c r="E19" i="18"/>
  <c r="E18" i="18" s="1"/>
  <c r="D16" i="18"/>
  <c r="E15" i="18"/>
  <c r="B3" i="21"/>
  <c r="F25" i="18"/>
  <c r="D23" i="18"/>
  <c r="E22" i="18"/>
  <c r="F21" i="18"/>
  <c r="D19" i="18"/>
  <c r="D18" i="18" s="1"/>
  <c r="F17" i="18"/>
  <c r="D15" i="18"/>
  <c r="E14" i="18"/>
  <c r="F13" i="18"/>
  <c r="D11" i="18"/>
  <c r="E10" i="18"/>
  <c r="E25" i="18"/>
  <c r="F24" i="18"/>
  <c r="D22" i="18"/>
  <c r="E21" i="18"/>
  <c r="F20" i="18"/>
  <c r="E17" i="18"/>
  <c r="F16" i="18"/>
  <c r="D14" i="18"/>
  <c r="E13" i="18"/>
  <c r="F12" i="18"/>
  <c r="D10" i="18"/>
  <c r="D24" i="18"/>
  <c r="D12" i="18"/>
  <c r="C3" i="21"/>
  <c r="D25" i="18"/>
  <c r="E24" i="18"/>
  <c r="F23" i="18"/>
  <c r="D21" i="18"/>
  <c r="E20" i="18"/>
  <c r="F19" i="18"/>
  <c r="F18" i="18" s="1"/>
  <c r="D17" i="18"/>
  <c r="E16" i="18"/>
  <c r="F15" i="18"/>
  <c r="N20" i="18"/>
  <c r="M20" i="18"/>
  <c r="L20" i="18"/>
  <c r="M13" i="18"/>
  <c r="N13" i="18"/>
  <c r="L13" i="18"/>
  <c r="N5" i="18" l="1"/>
  <c r="N4" i="18"/>
  <c r="C7" i="21" s="1"/>
  <c r="N3" i="18"/>
  <c r="N2" i="18"/>
  <c r="F2" i="18"/>
  <c r="M24" i="17"/>
  <c r="M25" i="17"/>
  <c r="M20" i="17"/>
  <c r="M21" i="17"/>
  <c r="M16" i="17"/>
  <c r="M17" i="17"/>
  <c r="M12" i="17"/>
  <c r="M13" i="17"/>
  <c r="M8" i="17"/>
  <c r="M9" i="17"/>
  <c r="M4" i="17"/>
  <c r="M5" i="17"/>
  <c r="N34" i="18"/>
  <c r="F50" i="18"/>
  <c r="N33" i="18"/>
  <c r="N40" i="18"/>
  <c r="N41" i="18"/>
  <c r="F49" i="18"/>
  <c r="X10" i="18" l="1"/>
  <c r="N36" i="18"/>
  <c r="N43" i="18"/>
  <c r="N32" i="18"/>
  <c r="F32" i="18"/>
  <c r="F35" i="18"/>
  <c r="F39" i="18"/>
  <c r="F43" i="18"/>
  <c r="F47" i="18"/>
  <c r="F42" i="18"/>
  <c r="F46" i="18"/>
  <c r="F36" i="18"/>
  <c r="F40" i="18"/>
  <c r="F44" i="18"/>
  <c r="F48" i="18"/>
  <c r="C6" i="21"/>
  <c r="F33" i="18"/>
  <c r="F37" i="18"/>
  <c r="F45" i="18"/>
  <c r="F34" i="18"/>
  <c r="F38" i="18"/>
  <c r="N9" i="18"/>
  <c r="F9" i="18"/>
  <c r="C8" i="21"/>
  <c r="K6" i="11"/>
  <c r="H6" i="11"/>
  <c r="G6" i="11"/>
  <c r="F6" i="11"/>
  <c r="B42" i="1"/>
  <c r="F41" i="18" l="1"/>
  <c r="AH3" i="17"/>
  <c r="AG3" i="17"/>
  <c r="AD4" i="17"/>
  <c r="AD5" i="17"/>
  <c r="AD6" i="17"/>
  <c r="AD7" i="17"/>
  <c r="AD8" i="17"/>
  <c r="AD9" i="17"/>
  <c r="AC9" i="17"/>
  <c r="AC6" i="17"/>
  <c r="AC7" i="17"/>
  <c r="AC8" i="17"/>
  <c r="AC5" i="17"/>
  <c r="AC4" i="17"/>
  <c r="AD12" i="17"/>
  <c r="AD11" i="17" s="1" a="1"/>
  <c r="AD11" i="17" s="1"/>
  <c r="AD13" i="17"/>
  <c r="AD14" i="17"/>
  <c r="AD15" i="17" s="1" a="1"/>
  <c r="AD15" i="17" s="1"/>
  <c r="AD16" i="17"/>
  <c r="AC16" i="17"/>
  <c r="AC15" i="17" a="1"/>
  <c r="AC15" i="17" s="1"/>
  <c r="AC14" i="17"/>
  <c r="AC11" i="17" s="1" a="1"/>
  <c r="AC11" i="17" s="1"/>
  <c r="AC13" i="17"/>
  <c r="AC12" i="17"/>
  <c r="AD3" i="17"/>
  <c r="AC3" i="17"/>
  <c r="Z4" i="17"/>
  <c r="Z5" i="17"/>
  <c r="Z6" i="17"/>
  <c r="Z7" i="17"/>
  <c r="Z8" i="17"/>
  <c r="Z9" i="17"/>
  <c r="Z10" i="17"/>
  <c r="Z11" i="17"/>
  <c r="Z13" i="17"/>
  <c r="Z14" i="17"/>
  <c r="Z12" i="17" s="1"/>
  <c r="Z15" i="17"/>
  <c r="Z16" i="17"/>
  <c r="Z17" i="17"/>
  <c r="Z18" i="17"/>
  <c r="Z19" i="17"/>
  <c r="Y19" i="17"/>
  <c r="Y18" i="17"/>
  <c r="Y17" i="17"/>
  <c r="Y16" i="17"/>
  <c r="Y15" i="17"/>
  <c r="Y14" i="17"/>
  <c r="Y13" i="17"/>
  <c r="Y11" i="17"/>
  <c r="Y10" i="17"/>
  <c r="Y9" i="17"/>
  <c r="Y8" i="17"/>
  <c r="Y7" i="17"/>
  <c r="Y6" i="17"/>
  <c r="Y5" i="17"/>
  <c r="Y4" i="17"/>
  <c r="Z3" i="17"/>
  <c r="Y3" i="17"/>
  <c r="V3" i="17"/>
  <c r="S9" i="17"/>
  <c r="S6" i="17"/>
  <c r="S7" i="17"/>
  <c r="S8" i="17"/>
  <c r="S5" i="17"/>
  <c r="S4" i="17"/>
  <c r="S16" i="17"/>
  <c r="S15" i="17" a="1"/>
  <c r="S15" i="17" s="1"/>
  <c r="S14" i="17"/>
  <c r="S11" i="17" s="1" a="1"/>
  <c r="S11" i="17" s="1"/>
  <c r="S18" i="17" s="1"/>
  <c r="S13" i="17"/>
  <c r="S12" i="17"/>
  <c r="S3" i="17"/>
  <c r="P19" i="17"/>
  <c r="P18" i="17"/>
  <c r="P17" i="17"/>
  <c r="P16" i="17"/>
  <c r="P15" i="17"/>
  <c r="P14" i="17"/>
  <c r="P13" i="17"/>
  <c r="P11" i="17"/>
  <c r="P10" i="17"/>
  <c r="P9" i="17"/>
  <c r="P8" i="17"/>
  <c r="P7" i="17"/>
  <c r="P6" i="17"/>
  <c r="P5" i="17"/>
  <c r="P4" i="17"/>
  <c r="P3" i="17"/>
  <c r="Y21" i="17"/>
  <c r="V11" i="17"/>
  <c r="Y20" i="17"/>
  <c r="AH5" i="17"/>
  <c r="AG11" i="17"/>
  <c r="AG12" i="17"/>
  <c r="V4" i="17"/>
  <c r="V12" i="17"/>
  <c r="P21" i="17"/>
  <c r="P20" i="17"/>
  <c r="AG5" i="17"/>
  <c r="AG4" i="17"/>
  <c r="AH4" i="17"/>
  <c r="V5" i="17"/>
  <c r="AH12" i="17"/>
  <c r="Z21" i="17"/>
  <c r="Z20" i="17"/>
  <c r="AH11" i="17"/>
  <c r="V14" i="17" l="1"/>
  <c r="V7" i="17"/>
  <c r="AG7" i="17"/>
  <c r="AG14" i="17"/>
  <c r="AH14" i="17"/>
  <c r="AH7" i="17"/>
  <c r="AC18" i="17"/>
  <c r="Y12" i="17"/>
  <c r="P12" i="17"/>
  <c r="M5" i="18" l="1"/>
  <c r="M4" i="18"/>
  <c r="M3" i="18"/>
  <c r="L5" i="18"/>
  <c r="L4" i="18"/>
  <c r="B7" i="21" s="1"/>
  <c r="L3" i="18"/>
  <c r="O4" i="18"/>
  <c r="D7" i="21" s="1"/>
  <c r="E7" i="21" s="1"/>
  <c r="P4" i="18" s="1"/>
  <c r="F11" i="12"/>
  <c r="F4" i="12"/>
  <c r="F5" i="12"/>
  <c r="F6" i="12"/>
  <c r="F7" i="12"/>
  <c r="F8" i="12"/>
  <c r="F9" i="12"/>
  <c r="F10" i="12"/>
  <c r="F3" i="12"/>
  <c r="C4" i="12"/>
  <c r="C5" i="12"/>
  <c r="W18" i="12" s="1"/>
  <c r="C6" i="12"/>
  <c r="C7" i="12"/>
  <c r="C8" i="12"/>
  <c r="W19" i="12" s="1"/>
  <c r="C3" i="12"/>
  <c r="E4" i="12"/>
  <c r="E5" i="12"/>
  <c r="E6" i="12"/>
  <c r="E7" i="12"/>
  <c r="E8" i="12"/>
  <c r="E9" i="12"/>
  <c r="E10" i="12"/>
  <c r="E11" i="12"/>
  <c r="E3" i="12"/>
  <c r="I10" i="17"/>
  <c r="K19" i="17"/>
  <c r="H18" i="17"/>
  <c r="I18" i="17"/>
  <c r="J18" i="17" s="1"/>
  <c r="H19" i="17"/>
  <c r="I19" i="17"/>
  <c r="J19" i="17" s="1"/>
  <c r="I17" i="16"/>
  <c r="O5" i="18" s="1"/>
  <c r="I14" i="16"/>
  <c r="I11" i="16"/>
  <c r="O3" i="18" s="1"/>
  <c r="I8" i="16"/>
  <c r="G5" i="18" s="1"/>
  <c r="I5" i="16"/>
  <c r="I2" i="16"/>
  <c r="G3" i="18" s="1"/>
  <c r="I23" i="17"/>
  <c r="J23" i="17" s="1"/>
  <c r="H23" i="17"/>
  <c r="I22" i="17"/>
  <c r="H22" i="17"/>
  <c r="I3" i="17"/>
  <c r="J3" i="17" s="1"/>
  <c r="H3" i="17"/>
  <c r="I2" i="17"/>
  <c r="J2" i="17" s="1"/>
  <c r="H2" i="17"/>
  <c r="I7" i="17"/>
  <c r="J7" i="17" s="1"/>
  <c r="H7" i="17"/>
  <c r="I6" i="17"/>
  <c r="J6" i="17" s="1"/>
  <c r="H6" i="17"/>
  <c r="I11" i="17"/>
  <c r="H11" i="17"/>
  <c r="H10" i="17"/>
  <c r="I14" i="17"/>
  <c r="J14" i="17" s="1"/>
  <c r="H14" i="17"/>
  <c r="I15" i="17"/>
  <c r="J15" i="17" s="1"/>
  <c r="H15" i="17"/>
  <c r="O33" i="18"/>
  <c r="L34" i="18"/>
  <c r="O11" i="18"/>
  <c r="M34" i="18"/>
  <c r="E50" i="18"/>
  <c r="L40" i="18"/>
  <c r="M33" i="18"/>
  <c r="O18" i="18"/>
  <c r="L41" i="18"/>
  <c r="G27" i="18"/>
  <c r="O41" i="18"/>
  <c r="E49" i="18"/>
  <c r="O40" i="18"/>
  <c r="L33" i="18"/>
  <c r="D50" i="18"/>
  <c r="M40" i="18"/>
  <c r="G50" i="18"/>
  <c r="O10" i="18"/>
  <c r="G49" i="18"/>
  <c r="O34" i="18"/>
  <c r="O17" i="18"/>
  <c r="M41" i="18"/>
  <c r="G26" i="18"/>
  <c r="D49" i="18"/>
  <c r="X8" i="18" l="1"/>
  <c r="X11" i="18"/>
  <c r="X6" i="18"/>
  <c r="X12" i="18"/>
  <c r="AD82" i="18"/>
  <c r="V12" i="18"/>
  <c r="AC82" i="18"/>
  <c r="W12" i="18"/>
  <c r="AB82" i="18"/>
  <c r="M36" i="18"/>
  <c r="L43" i="18"/>
  <c r="O13" i="18"/>
  <c r="L36" i="18"/>
  <c r="O20" i="18"/>
  <c r="O36" i="18"/>
  <c r="O43" i="18"/>
  <c r="M43" i="18"/>
  <c r="E36" i="18"/>
  <c r="E40" i="18"/>
  <c r="E44" i="18"/>
  <c r="E48" i="18"/>
  <c r="E33" i="18"/>
  <c r="E37" i="18"/>
  <c r="E45" i="18"/>
  <c r="E34" i="18"/>
  <c r="E38" i="18"/>
  <c r="E42" i="18"/>
  <c r="E46" i="18"/>
  <c r="E35" i="18"/>
  <c r="E39" i="18"/>
  <c r="E43" i="18"/>
  <c r="E47" i="18"/>
  <c r="B8" i="21"/>
  <c r="D3" i="21"/>
  <c r="H3" i="18" s="1"/>
  <c r="G10" i="18"/>
  <c r="G14" i="18"/>
  <c r="G22" i="18"/>
  <c r="G13" i="18"/>
  <c r="G11" i="18"/>
  <c r="G15" i="18"/>
  <c r="G19" i="18"/>
  <c r="G18" i="18" s="1"/>
  <c r="G23" i="18"/>
  <c r="G25" i="18"/>
  <c r="G12" i="18"/>
  <c r="G16" i="18"/>
  <c r="G20" i="18"/>
  <c r="G24" i="18"/>
  <c r="G17" i="18"/>
  <c r="G21" i="18"/>
  <c r="D33" i="18"/>
  <c r="D37" i="18"/>
  <c r="D45" i="18"/>
  <c r="D36" i="18"/>
  <c r="D40" i="18"/>
  <c r="D44" i="18"/>
  <c r="D48" i="18"/>
  <c r="D34" i="18"/>
  <c r="D38" i="18"/>
  <c r="D42" i="18"/>
  <c r="D46" i="18"/>
  <c r="B6" i="21"/>
  <c r="D35" i="18"/>
  <c r="D39" i="18"/>
  <c r="D43" i="18"/>
  <c r="D47" i="18"/>
  <c r="D5" i="21"/>
  <c r="E5" i="21" s="1"/>
  <c r="H5" i="18" s="1"/>
  <c r="D6" i="21"/>
  <c r="G34" i="18"/>
  <c r="G38" i="18"/>
  <c r="G42" i="18"/>
  <c r="G46" i="18"/>
  <c r="G35" i="18"/>
  <c r="G39" i="18"/>
  <c r="G43" i="18"/>
  <c r="G47" i="18"/>
  <c r="G45" i="18"/>
  <c r="G36" i="18"/>
  <c r="G40" i="18"/>
  <c r="G44" i="18"/>
  <c r="G48" i="18"/>
  <c r="G33" i="18"/>
  <c r="G37" i="18"/>
  <c r="D8" i="21"/>
  <c r="K4" i="18"/>
  <c r="K5" i="18"/>
  <c r="C4" i="18"/>
  <c r="C3" i="18"/>
  <c r="K3" i="18"/>
  <c r="J20" i="17"/>
  <c r="J21" i="17"/>
  <c r="K18" i="17"/>
  <c r="J5" i="17"/>
  <c r="L19" i="17"/>
  <c r="J4" i="17"/>
  <c r="K15" i="17"/>
  <c r="L15" i="17" s="1"/>
  <c r="J16" i="17"/>
  <c r="J17" i="17"/>
  <c r="K23" i="17"/>
  <c r="L23" i="17" s="1"/>
  <c r="K3" i="17"/>
  <c r="L3" i="17" s="1"/>
  <c r="K22" i="17"/>
  <c r="K2" i="17"/>
  <c r="K14" i="17"/>
  <c r="K10" i="17"/>
  <c r="J8" i="17"/>
  <c r="K11" i="17"/>
  <c r="J10" i="17"/>
  <c r="J11" i="17"/>
  <c r="K6" i="17"/>
  <c r="J22" i="17"/>
  <c r="K7" i="17"/>
  <c r="L7" i="17" s="1"/>
  <c r="K40" i="18"/>
  <c r="K33" i="18"/>
  <c r="K41" i="18"/>
  <c r="H27" i="18"/>
  <c r="K34" i="18"/>
  <c r="P18" i="18"/>
  <c r="H26" i="18"/>
  <c r="P10" i="18"/>
  <c r="P11" i="18"/>
  <c r="C50" i="18"/>
  <c r="P17" i="18"/>
  <c r="C49" i="18"/>
  <c r="AD6" i="18" l="1"/>
  <c r="W4" i="18"/>
  <c r="AB6" i="18"/>
  <c r="AC6" i="18"/>
  <c r="V4" i="18"/>
  <c r="X13" i="18"/>
  <c r="AD83" i="18"/>
  <c r="AB87" i="18" s="1"/>
  <c r="AB88" i="18" s="1"/>
  <c r="AD87" i="18"/>
  <c r="AB92" i="18"/>
  <c r="AB93" i="18" s="1"/>
  <c r="AD92" i="18"/>
  <c r="X4" i="18"/>
  <c r="K36" i="18"/>
  <c r="K43" i="18"/>
  <c r="P20" i="18"/>
  <c r="P13" i="18"/>
  <c r="E8" i="21"/>
  <c r="P5" i="18" s="1"/>
  <c r="E6" i="21"/>
  <c r="P3" i="18" s="1"/>
  <c r="D41" i="18"/>
  <c r="E41" i="18"/>
  <c r="C48" i="18"/>
  <c r="C44" i="18"/>
  <c r="C39" i="18"/>
  <c r="C35" i="18"/>
  <c r="C40" i="18"/>
  <c r="C47" i="18"/>
  <c r="C43" i="18"/>
  <c r="C38" i="18"/>
  <c r="C34" i="18"/>
  <c r="C36" i="18"/>
  <c r="C46" i="18"/>
  <c r="C42" i="18"/>
  <c r="C37" i="18"/>
  <c r="C33" i="18"/>
  <c r="C45" i="18"/>
  <c r="G41" i="18"/>
  <c r="H13" i="18"/>
  <c r="H17" i="18"/>
  <c r="H21" i="18"/>
  <c r="H25" i="18"/>
  <c r="H12" i="18"/>
  <c r="H10" i="18"/>
  <c r="H14" i="18"/>
  <c r="H22" i="18"/>
  <c r="H11" i="18"/>
  <c r="H15" i="18"/>
  <c r="H19" i="18"/>
  <c r="H23" i="18"/>
  <c r="H16" i="18"/>
  <c r="H20" i="18"/>
  <c r="H24" i="18"/>
  <c r="K21" i="17"/>
  <c r="K20" i="17"/>
  <c r="L18" i="17"/>
  <c r="L6" i="17"/>
  <c r="K8" i="17"/>
  <c r="K9" i="17"/>
  <c r="K24" i="17"/>
  <c r="K25" i="17"/>
  <c r="J24" i="17"/>
  <c r="J25" i="17"/>
  <c r="J12" i="17"/>
  <c r="J13" i="17"/>
  <c r="L2" i="17"/>
  <c r="K4" i="17"/>
  <c r="K5" i="17"/>
  <c r="J9" i="17"/>
  <c r="K12" i="17"/>
  <c r="K13" i="17"/>
  <c r="L14" i="17"/>
  <c r="K16" i="17"/>
  <c r="K17" i="17"/>
  <c r="L22" i="17"/>
  <c r="L11" i="17"/>
  <c r="L10" i="17"/>
  <c r="H49" i="18"/>
  <c r="H50" i="18"/>
  <c r="P34" i="18"/>
  <c r="P33" i="18"/>
  <c r="P41" i="18"/>
  <c r="AF92" i="18"/>
  <c r="P40" i="18"/>
  <c r="C41" i="18" l="1"/>
  <c r="X14" i="18"/>
  <c r="AD93" i="18"/>
  <c r="AC87" i="18"/>
  <c r="AC92" i="18"/>
  <c r="AE83" i="18"/>
  <c r="W14" i="18"/>
  <c r="V14" i="18"/>
  <c r="AD88" i="18"/>
  <c r="AF88" i="18" s="1"/>
  <c r="AF87" i="18"/>
  <c r="P43" i="18"/>
  <c r="P36" i="18"/>
  <c r="H18" i="18"/>
  <c r="H33" i="18"/>
  <c r="H37" i="18"/>
  <c r="H45" i="18"/>
  <c r="H34" i="18"/>
  <c r="H38" i="18"/>
  <c r="H42" i="18"/>
  <c r="H46" i="18"/>
  <c r="H36" i="18"/>
  <c r="H48" i="18"/>
  <c r="H35" i="18"/>
  <c r="H39" i="18"/>
  <c r="H43" i="18"/>
  <c r="H47" i="18"/>
  <c r="H40" i="18"/>
  <c r="H44" i="18"/>
  <c r="L20" i="17"/>
  <c r="L21" i="17"/>
  <c r="L25" i="17"/>
  <c r="L24" i="17"/>
  <c r="L13" i="17"/>
  <c r="L12" i="17"/>
  <c r="L4" i="17"/>
  <c r="L5" i="17"/>
  <c r="L8" i="17"/>
  <c r="L9" i="17"/>
  <c r="L17" i="17"/>
  <c r="L16" i="17"/>
  <c r="AE92" i="18"/>
  <c r="AF93" i="18"/>
  <c r="AI92" i="18" l="1"/>
  <c r="AG93" i="18"/>
  <c r="AH93" i="18"/>
  <c r="AG88" i="18"/>
  <c r="AH88" i="18"/>
  <c r="AJ92" i="18"/>
  <c r="AJ93" i="18" s="1"/>
  <c r="AC93" i="18"/>
  <c r="AC88" i="18"/>
  <c r="AE88" i="18" s="1"/>
  <c r="AJ87" i="18"/>
  <c r="AJ88" i="18" s="1"/>
  <c r="AE87" i="18"/>
  <c r="AI87" i="18" s="1"/>
  <c r="H41" i="18"/>
  <c r="J45" i="15"/>
  <c r="F45" i="15"/>
  <c r="B45" i="15"/>
  <c r="J44" i="15"/>
  <c r="F44" i="15"/>
  <c r="B44" i="15"/>
  <c r="J43" i="15"/>
  <c r="F43" i="15"/>
  <c r="B43" i="15"/>
  <c r="J42" i="15"/>
  <c r="F42" i="15"/>
  <c r="B42" i="15"/>
  <c r="J41" i="15"/>
  <c r="F41" i="15"/>
  <c r="B41" i="15"/>
  <c r="AE93" i="18"/>
  <c r="AI93" i="18" l="1"/>
  <c r="Y11" i="18"/>
  <c r="AI88" i="18"/>
  <c r="F12" i="12" l="1"/>
  <c r="F13" i="12"/>
  <c r="J10" i="11" l="1"/>
  <c r="J19" i="11"/>
  <c r="J13" i="11"/>
  <c r="J44" i="9"/>
  <c r="I11" i="11" s="1"/>
  <c r="J45" i="9"/>
  <c r="L11" i="11" s="1"/>
  <c r="M11" i="11" s="1"/>
  <c r="J43" i="9"/>
  <c r="J11" i="11" s="1"/>
  <c r="J41" i="9"/>
  <c r="J42" i="9" s="1"/>
  <c r="F45" i="9"/>
  <c r="L10" i="11" s="1"/>
  <c r="M10" i="11" s="1"/>
  <c r="F44" i="9"/>
  <c r="I10" i="11" s="1"/>
  <c r="F43" i="9"/>
  <c r="F41" i="9"/>
  <c r="D10" i="11" s="1"/>
  <c r="F10" i="11" s="1"/>
  <c r="B45" i="9"/>
  <c r="L9" i="11" s="1"/>
  <c r="M9" i="11" s="1"/>
  <c r="B44" i="9"/>
  <c r="I9" i="11" s="1"/>
  <c r="B41" i="9"/>
  <c r="B42" i="9" s="1"/>
  <c r="B43" i="9"/>
  <c r="J9" i="11" s="1"/>
  <c r="J44" i="6"/>
  <c r="L20" i="11" s="1"/>
  <c r="M20" i="11" s="1"/>
  <c r="J43" i="6"/>
  <c r="I20" i="11" s="1"/>
  <c r="J42" i="6"/>
  <c r="J20" i="11" s="1"/>
  <c r="J40" i="6"/>
  <c r="D20" i="11" s="1"/>
  <c r="F20" i="11" s="1"/>
  <c r="F44" i="6"/>
  <c r="L19" i="11" s="1"/>
  <c r="M19" i="11" s="1"/>
  <c r="F43" i="6"/>
  <c r="I19" i="11" s="1"/>
  <c r="F42" i="6"/>
  <c r="F40" i="6"/>
  <c r="D19" i="11" s="1"/>
  <c r="F19" i="11" s="1"/>
  <c r="B44" i="6"/>
  <c r="L18" i="11" s="1"/>
  <c r="M18" i="11" s="1"/>
  <c r="B43" i="6"/>
  <c r="I18" i="11" s="1"/>
  <c r="B42" i="6"/>
  <c r="J18" i="11" s="1"/>
  <c r="B40" i="6"/>
  <c r="B41" i="6" s="1"/>
  <c r="J44" i="5"/>
  <c r="L17" i="11" s="1"/>
  <c r="M17" i="11" s="1"/>
  <c r="J43" i="5"/>
  <c r="I17" i="11" s="1"/>
  <c r="J42" i="5"/>
  <c r="J17" i="11" s="1"/>
  <c r="J40" i="5"/>
  <c r="J41" i="5" s="1"/>
  <c r="F44" i="5"/>
  <c r="L16" i="11" s="1"/>
  <c r="M16" i="11" s="1"/>
  <c r="F43" i="5"/>
  <c r="I16" i="11" s="1"/>
  <c r="F42" i="5"/>
  <c r="J16" i="11" s="1"/>
  <c r="F40" i="5"/>
  <c r="F41" i="5" s="1"/>
  <c r="B40" i="5"/>
  <c r="D15" i="11" s="1"/>
  <c r="F15" i="11" s="1"/>
  <c r="B44" i="5"/>
  <c r="L15" i="11" s="1"/>
  <c r="M15" i="11" s="1"/>
  <c r="B43" i="5"/>
  <c r="I15" i="11" s="1"/>
  <c r="B42" i="5"/>
  <c r="J15" i="11" s="1"/>
  <c r="B41" i="5"/>
  <c r="J45" i="2"/>
  <c r="L14" i="11" s="1"/>
  <c r="M14" i="11" s="1"/>
  <c r="J44" i="2"/>
  <c r="I14" i="11" s="1"/>
  <c r="J43" i="2"/>
  <c r="J14" i="11" s="1"/>
  <c r="J41" i="2"/>
  <c r="D14" i="11" s="1"/>
  <c r="F14" i="11" s="1"/>
  <c r="F45" i="2"/>
  <c r="L13" i="11" s="1"/>
  <c r="M13" i="11" s="1"/>
  <c r="F44" i="2"/>
  <c r="I13" i="11" s="1"/>
  <c r="F43" i="2"/>
  <c r="F41" i="2"/>
  <c r="D13" i="11" s="1"/>
  <c r="F13" i="11" s="1"/>
  <c r="B45" i="2"/>
  <c r="L12" i="11" s="1"/>
  <c r="M12" i="11" s="1"/>
  <c r="B44" i="2"/>
  <c r="I12" i="11" s="1"/>
  <c r="B43" i="2"/>
  <c r="J12" i="11" s="1"/>
  <c r="B41" i="2"/>
  <c r="B42" i="2" s="1"/>
  <c r="M29" i="11"/>
  <c r="F7" i="11"/>
  <c r="F8" i="11"/>
  <c r="G15" i="11" l="1"/>
  <c r="H15" i="11" s="1"/>
  <c r="D18" i="11"/>
  <c r="F18" i="11" s="1"/>
  <c r="K17" i="11"/>
  <c r="D9" i="11"/>
  <c r="F9" i="11" s="1"/>
  <c r="G10" i="11"/>
  <c r="H10" i="11" s="1"/>
  <c r="K11" i="11"/>
  <c r="K15" i="11"/>
  <c r="K14" i="11"/>
  <c r="K18" i="11"/>
  <c r="K20" i="11"/>
  <c r="K9" i="11"/>
  <c r="D12" i="11"/>
  <c r="F12" i="11" s="1"/>
  <c r="F42" i="2"/>
  <c r="F41" i="6"/>
  <c r="F42" i="9"/>
  <c r="D16" i="11"/>
  <c r="F16" i="11" s="1"/>
  <c r="J42" i="2"/>
  <c r="J41" i="6"/>
  <c r="K10" i="11"/>
  <c r="N10" i="11" s="1"/>
  <c r="D17" i="11"/>
  <c r="F17" i="11" s="1"/>
  <c r="D11" i="11"/>
  <c r="F11" i="11" s="1"/>
  <c r="K16" i="11"/>
  <c r="K19" i="11"/>
  <c r="G17" i="11"/>
  <c r="H17" i="11" s="1"/>
  <c r="G20" i="11"/>
  <c r="H20" i="11" s="1"/>
  <c r="K12" i="11"/>
  <c r="K13" i="11"/>
  <c r="G14" i="11"/>
  <c r="H14" i="11" s="1"/>
  <c r="G19" i="11"/>
  <c r="H19" i="11" s="1"/>
  <c r="G13" i="11"/>
  <c r="N15" i="11" l="1"/>
  <c r="G12" i="11"/>
  <c r="H12" i="11" s="1"/>
  <c r="N12" i="11" s="1"/>
  <c r="N19" i="11"/>
  <c r="G9" i="11"/>
  <c r="H9" i="11" s="1"/>
  <c r="N9" i="11" s="1"/>
  <c r="G18" i="11"/>
  <c r="H18" i="11" s="1"/>
  <c r="N18" i="11" s="1"/>
  <c r="N20" i="11"/>
  <c r="N17" i="11"/>
  <c r="G16" i="11"/>
  <c r="H16" i="11" s="1"/>
  <c r="N16" i="11" s="1"/>
  <c r="G11" i="11"/>
  <c r="H11" i="11" s="1"/>
  <c r="N11" i="11" s="1"/>
  <c r="N14" i="11"/>
  <c r="H13" i="11"/>
  <c r="N13" i="11" s="1"/>
  <c r="C10" i="12" l="1"/>
  <c r="C11" i="12"/>
  <c r="C9" i="12"/>
  <c r="M6" i="11"/>
  <c r="M7" i="11"/>
  <c r="M8" i="11"/>
  <c r="J42" i="1"/>
  <c r="F42" i="1"/>
  <c r="K8" i="11"/>
  <c r="G8" i="11"/>
  <c r="H8" i="11" s="1"/>
  <c r="K7" i="11"/>
  <c r="G7" i="11"/>
  <c r="H7" i="11" s="1"/>
  <c r="T18" i="12"/>
  <c r="T19" i="12"/>
  <c r="Z10" i="12"/>
  <c r="Z2" i="12"/>
  <c r="Z3" i="12"/>
  <c r="Z9" i="12"/>
  <c r="Z5" i="12" l="1"/>
  <c r="Z12" i="12"/>
  <c r="C5" i="18"/>
  <c r="T2" i="12"/>
  <c r="T9" i="12"/>
  <c r="T13" i="12"/>
  <c r="T12" i="12"/>
  <c r="W10" i="12"/>
  <c r="T15" i="12"/>
  <c r="T5" i="12"/>
  <c r="T8" i="12"/>
  <c r="T7" i="12"/>
  <c r="T3" i="12"/>
  <c r="T11" i="12"/>
  <c r="T10" i="12" s="1"/>
  <c r="W12" i="12"/>
  <c r="W11" i="12"/>
  <c r="W4" i="12" s="1"/>
  <c r="T4" i="12"/>
  <c r="T6" i="12"/>
  <c r="T14" i="12"/>
  <c r="T17" i="12"/>
  <c r="T16" i="12"/>
  <c r="W14" i="12"/>
  <c r="C13" i="12"/>
  <c r="C12" i="12"/>
  <c r="N6" i="11"/>
  <c r="N7" i="11"/>
  <c r="N8" i="11"/>
  <c r="K17" i="18"/>
  <c r="C26" i="18"/>
  <c r="K11" i="18"/>
  <c r="K10" i="18"/>
  <c r="C27" i="18"/>
  <c r="K18" i="18"/>
  <c r="AC5" i="18" l="1"/>
  <c r="AD5" i="18"/>
  <c r="W3" i="18"/>
  <c r="V3" i="18"/>
  <c r="AB5" i="18"/>
  <c r="X3" i="18"/>
  <c r="K20" i="18"/>
  <c r="K13" i="18"/>
  <c r="C22" i="18"/>
  <c r="C25" i="18"/>
  <c r="C14" i="18"/>
  <c r="C11" i="18"/>
  <c r="C16" i="18"/>
  <c r="C20" i="18"/>
  <c r="C10" i="18"/>
  <c r="C17" i="18"/>
  <c r="C21" i="18"/>
  <c r="C24" i="18"/>
  <c r="C19" i="18"/>
  <c r="C18" i="18" s="1"/>
  <c r="C13" i="18"/>
  <c r="C23" i="18"/>
  <c r="C12" i="18"/>
  <c r="C15" i="18"/>
  <c r="W9" i="12" a="1"/>
  <c r="W9" i="12" s="1"/>
  <c r="W5" i="12"/>
  <c r="W13" i="12" a="1"/>
  <c r="W13" i="12" s="1"/>
  <c r="W6" i="12" s="1"/>
  <c r="P6" i="11"/>
  <c r="AB16" i="18" l="1"/>
  <c r="AB17" i="18" s="1"/>
  <c r="AD16" i="18"/>
  <c r="AD7" i="18"/>
  <c r="AB11" i="18" s="1"/>
  <c r="AB12" i="18" s="1"/>
  <c r="AD11" i="18"/>
  <c r="AC16" i="18"/>
  <c r="W16" i="12"/>
  <c r="W7" i="12" s="1"/>
  <c r="W3" i="12"/>
  <c r="AF16" i="18"/>
  <c r="AE16" i="18"/>
  <c r="AE7" i="18" l="1"/>
  <c r="AI16" i="18"/>
  <c r="AC11" i="18"/>
  <c r="AD17" i="18"/>
  <c r="AD12" i="18"/>
  <c r="AF12" i="18" s="1"/>
  <c r="AF11" i="18"/>
  <c r="AC17" i="18"/>
  <c r="AJ16" i="18"/>
  <c r="AJ17" i="18" s="1"/>
  <c r="W2" i="12"/>
  <c r="AF17" i="18"/>
  <c r="AE17" i="18"/>
  <c r="AI17" i="18" l="1"/>
  <c r="AH17" i="18"/>
  <c r="AG17" i="18"/>
  <c r="AH12" i="18"/>
  <c r="AG12" i="18"/>
  <c r="AC12" i="18"/>
  <c r="AE12" i="18" s="1"/>
  <c r="AE11" i="18"/>
  <c r="AI11" i="18" s="1"/>
  <c r="AJ11" i="18"/>
  <c r="AJ12" i="18" s="1"/>
  <c r="Y3" i="18" l="1"/>
  <c r="AI12" i="18"/>
</calcChain>
</file>

<file path=xl/sharedStrings.xml><?xml version="1.0" encoding="utf-8"?>
<sst xmlns="http://schemas.openxmlformats.org/spreadsheetml/2006/main" count="921" uniqueCount="237">
  <si>
    <t>Pengamat : RABBIRL Y. M.</t>
  </si>
  <si>
    <t>Koordinat : UTM 49 M 0437835 9825208</t>
  </si>
  <si>
    <t>Tinggi Pipa : 25,5</t>
  </si>
  <si>
    <t>Ulangan     : 1</t>
  </si>
  <si>
    <t>Plot              : 1</t>
  </si>
  <si>
    <t>Waktu        : 21 Nov 2019</t>
  </si>
  <si>
    <t>Lokasi         : Areal Konservasi Blok P/O</t>
  </si>
  <si>
    <t>Menit ke-</t>
  </si>
  <si>
    <t>Tinggi Muka Air (cm)</t>
  </si>
  <si>
    <t>Sebelum Pompa</t>
  </si>
  <si>
    <t>Setelah Pompa</t>
  </si>
  <si>
    <t>Ulangan     : 2</t>
  </si>
  <si>
    <t>Ulangan     : 3</t>
  </si>
  <si>
    <t>Tinggi Pipa : 24</t>
  </si>
  <si>
    <t>Tinggi Pipa : 25</t>
  </si>
  <si>
    <t>Koordinat : UTM 49 M 0437835 9825209</t>
  </si>
  <si>
    <t>Waktu        : 22 Nov 2019</t>
  </si>
  <si>
    <t>Lokasi         : Areal Konservasi Blok P58</t>
  </si>
  <si>
    <t>Plot              : 2</t>
  </si>
  <si>
    <t>Koordinat : UTM 49 M 0437841 9825212</t>
  </si>
  <si>
    <t>Koordinat : UTM 49 M 0440726 9825126</t>
  </si>
  <si>
    <t>Tinggi Pipa : 31 cm</t>
  </si>
  <si>
    <t>Waktu        : 23 Nov 2019</t>
  </si>
  <si>
    <t>Koordinat : UTM 49 M 0440732 9825125</t>
  </si>
  <si>
    <t>Tinggi Pipa : 28,5</t>
  </si>
  <si>
    <t>Keterangan : Gambut Dangkal</t>
  </si>
  <si>
    <t>Koordinat : UTM 49 M 0440725 9825123</t>
  </si>
  <si>
    <t>Tinggi Pipa : 30,5</t>
  </si>
  <si>
    <t>Tinggi Pipa : 25 cm</t>
  </si>
  <si>
    <t>Waktu        : 26 Nov 2019</t>
  </si>
  <si>
    <t>Tinggi Pipa : 26 cm</t>
  </si>
  <si>
    <t>Tinggi Pipa : 28 cm</t>
  </si>
  <si>
    <t>Plot              : 5</t>
  </si>
  <si>
    <t>Lokasi         : Areal Konservasi Blok R43</t>
  </si>
  <si>
    <t>Keterangan : Tidak Terbakar</t>
  </si>
  <si>
    <t>Koordinat : UTM 49 M 0435987 9823101</t>
  </si>
  <si>
    <t>Tinggi Pipa : 24 cm</t>
  </si>
  <si>
    <t>Koordinat : UTM 49 M 0435993 9823100</t>
  </si>
  <si>
    <t>Koordinat : UTM 49 M 0435988 9823108</t>
  </si>
  <si>
    <t>Lokasi         : Areal Konservasi Blok R43/2</t>
  </si>
  <si>
    <t>Plot              : 6</t>
  </si>
  <si>
    <t>Koordinat : UTM 49 M 0435984 9822971</t>
  </si>
  <si>
    <t>Koordinat : UTM 49 M 0435985 9822973</t>
  </si>
  <si>
    <t>Koordinat : UTM 49 M 0435983 9822970</t>
  </si>
  <si>
    <t>Tinggi Pipa : 21 cm</t>
  </si>
  <si>
    <t>Waktu        : 27 Nov 2019</t>
  </si>
  <si>
    <t>Waktu        : 29 Nov 2019</t>
  </si>
  <si>
    <t>Lokasi         : Areal Konservasi Blok P48/2</t>
  </si>
  <si>
    <t>Plot              : 9</t>
  </si>
  <si>
    <t>Koordinat : UTM 49 M 0437826 9825223</t>
  </si>
  <si>
    <t>Keterangan : Terbakar, Tergenang</t>
  </si>
  <si>
    <t>Koordinat : UTM 49 M 0437823 9825226</t>
  </si>
  <si>
    <t>Tinggi Pipa : 28,5 cm</t>
  </si>
  <si>
    <t>Koordinat : UTM 49 M 0437820 9825219</t>
  </si>
  <si>
    <t>Konduktivitas hidrolik</t>
  </si>
  <si>
    <t>No</t>
  </si>
  <si>
    <t>Kode</t>
  </si>
  <si>
    <t>Jari-Jari</t>
  </si>
  <si>
    <t>Kedalaman Air Tanah dari Ref (Pralon)</t>
  </si>
  <si>
    <t>Tebal Air Masuk ke dalam Pralon</t>
  </si>
  <si>
    <t>Kedalaman Rataan  Air Tanah di bawah muka air tanah</t>
  </si>
  <si>
    <t>Koefisien</t>
  </si>
  <si>
    <t>Kedalam Air Setelah dipompa</t>
  </si>
  <si>
    <t>Jarak Ho ke Ht</t>
  </si>
  <si>
    <t>Waktu yang diperlukan untuk H0 ke Ht</t>
  </si>
  <si>
    <t>Konduktivitas Hidrolik</t>
  </si>
  <si>
    <t>( r )</t>
  </si>
  <si>
    <t>(D1)</t>
  </si>
  <si>
    <t>(D2)</t>
  </si>
  <si>
    <t>(h')</t>
  </si>
  <si>
    <t>( C )</t>
  </si>
  <si>
    <t>(Ht)</t>
  </si>
  <si>
    <t>(H0)</t>
  </si>
  <si>
    <t>(t)</t>
  </si>
  <si>
    <t>m/day</t>
  </si>
  <si>
    <t>(cm)</t>
  </si>
  <si>
    <t>s</t>
  </si>
  <si>
    <t>D1</t>
  </si>
  <si>
    <t>D2</t>
  </si>
  <si>
    <t>MAT reference</t>
  </si>
  <si>
    <t>MAT sebelum dipompa</t>
  </si>
  <si>
    <t>panjang pipa-D1</t>
  </si>
  <si>
    <t>h0</t>
  </si>
  <si>
    <t>MAT setelah dipompa</t>
  </si>
  <si>
    <t>ht</t>
  </si>
  <si>
    <t>MAT pd akhir pengukuran</t>
  </si>
  <si>
    <t>t (menit)</t>
  </si>
  <si>
    <t>panjang pipa</t>
  </si>
  <si>
    <t>cm</t>
  </si>
  <si>
    <t>D&gt;1/2 D2</t>
  </si>
  <si>
    <t>Kedalam Air Setelah menit ke-t</t>
  </si>
  <si>
    <t xml:space="preserve">Kode </t>
  </si>
  <si>
    <t>Konduktivitas Hidrolik (m/hari)</t>
  </si>
  <si>
    <t>Terbakar</t>
  </si>
  <si>
    <t>Tak Terbakar</t>
  </si>
  <si>
    <t>Rerata</t>
  </si>
  <si>
    <t>Standar deviasi</t>
  </si>
  <si>
    <t>t-Test: Two-Sample Assuming Equal Variances</t>
  </si>
  <si>
    <t>Variable 1</t>
  </si>
  <si>
    <t>Variable 2</t>
  </si>
  <si>
    <t>Mean</t>
  </si>
  <si>
    <t>Variance</t>
  </si>
  <si>
    <t>Observations</t>
  </si>
  <si>
    <t>Pooled Variance</t>
  </si>
  <si>
    <t>Hypothesized Mean Difference</t>
  </si>
  <si>
    <t>df</t>
  </si>
  <si>
    <t>t Stat</t>
  </si>
  <si>
    <t>T1-1</t>
  </si>
  <si>
    <t>T1-2</t>
  </si>
  <si>
    <t>T1-3</t>
  </si>
  <si>
    <t>T2-1</t>
  </si>
  <si>
    <t>T2-2</t>
  </si>
  <si>
    <t>T2-3</t>
  </si>
  <si>
    <t>T3-1</t>
  </si>
  <si>
    <t>TT3-2</t>
  </si>
  <si>
    <t>T3-3</t>
  </si>
  <si>
    <t>TT1-1</t>
  </si>
  <si>
    <t>TT1-2</t>
  </si>
  <si>
    <t>TT1-3</t>
  </si>
  <si>
    <t>TT2-1</t>
  </si>
  <si>
    <t>TT2-2</t>
  </si>
  <si>
    <t>TT2-3</t>
  </si>
  <si>
    <t>T3-2</t>
  </si>
  <si>
    <t>TT3-1</t>
  </si>
  <si>
    <t>TT3-3</t>
  </si>
  <si>
    <t>Kedalaman (cm)</t>
  </si>
  <si>
    <t>15-25</t>
  </si>
  <si>
    <t>TT1</t>
  </si>
  <si>
    <t>25-35</t>
  </si>
  <si>
    <t>75-85</t>
  </si>
  <si>
    <t>0-10</t>
  </si>
  <si>
    <t>TT2</t>
  </si>
  <si>
    <t>T3</t>
  </si>
  <si>
    <t>35-45</t>
  </si>
  <si>
    <t>Q3</t>
  </si>
  <si>
    <t>40-50</t>
  </si>
  <si>
    <t>Q1</t>
  </si>
  <si>
    <t>T2</t>
  </si>
  <si>
    <t>30-40</t>
  </si>
  <si>
    <t>10-20</t>
  </si>
  <si>
    <t>T1</t>
  </si>
  <si>
    <t>TT3</t>
  </si>
  <si>
    <t>Tanggal 2018</t>
  </si>
  <si>
    <t>Tanggal 2019</t>
  </si>
  <si>
    <t>Ulangan</t>
  </si>
  <si>
    <t>Peat Depth 2018 (cm)</t>
  </si>
  <si>
    <t>Peat Depth 2019 (cm)</t>
  </si>
  <si>
    <t>Tutupan Lahan</t>
  </si>
  <si>
    <t>Semak belukar</t>
  </si>
  <si>
    <t>Berat Wadah (g)</t>
  </si>
  <si>
    <t>Berat Wadah + Sampel Basah (g)</t>
  </si>
  <si>
    <t>BKO + Wadah (g)</t>
  </si>
  <si>
    <r>
      <t>Volume (cm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charset val="1"/>
        <scheme val="minor"/>
      </rPr>
      <t>)</t>
    </r>
  </si>
  <si>
    <t>BB (g)</t>
  </si>
  <si>
    <t>BKO (g)</t>
  </si>
  <si>
    <r>
      <t>BI (g/cm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charset val="1"/>
        <scheme val="minor"/>
      </rPr>
      <t>)</t>
    </r>
  </si>
  <si>
    <t>KA Grav (%)</t>
  </si>
  <si>
    <t>KA Vol (%)</t>
  </si>
  <si>
    <t>8-018</t>
  </si>
  <si>
    <t>Subsiden (cm)</t>
  </si>
  <si>
    <t>Rataan</t>
  </si>
  <si>
    <t>SD</t>
  </si>
  <si>
    <t>Kadar Air (%Vol)</t>
  </si>
  <si>
    <t>Subsiden (cm/tahun)</t>
  </si>
  <si>
    <t>Descriptive Statistics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</si>
  <si>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</si>
  <si>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</si>
  <si>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</si>
  <si>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</si>
  <si>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</si>
  <si>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</si>
  <si>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</si>
  <si>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</si>
  <si>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Maximum</t>
  </si>
  <si>
    <t>Minimum</t>
  </si>
  <si>
    <t>Sum</t>
  </si>
  <si>
    <t>Count</t>
  </si>
  <si>
    <t>Geometric Mean</t>
  </si>
  <si>
    <t>Harmonic Mean</t>
  </si>
  <si>
    <t>AAD</t>
  </si>
  <si>
    <t>MAD</t>
  </si>
  <si>
    <t>IQR</t>
  </si>
  <si>
    <t>Multiplier</t>
  </si>
  <si>
    <t>Grand Min</t>
  </si>
  <si>
    <t>Outliers</t>
  </si>
  <si>
    <t>Min</t>
  </si>
  <si>
    <t>Max</t>
  </si>
  <si>
    <t>Q1-Min</t>
  </si>
  <si>
    <t>Med-Q1</t>
  </si>
  <si>
    <t>Q3-Med</t>
  </si>
  <si>
    <t>Max-Q3</t>
  </si>
  <si>
    <t>None</t>
  </si>
  <si>
    <t>Shapiro-Wilk Test</t>
  </si>
  <si>
    <t>W-stat</t>
  </si>
  <si>
    <t>p-value</t>
  </si>
  <si>
    <t>alpha</t>
  </si>
  <si>
    <t>normal</t>
  </si>
  <si>
    <t>d'Agostino-Pearson</t>
  </si>
  <si>
    <t>DA-stat</t>
  </si>
  <si>
    <t>D1 (Sebelum Pompa)</t>
  </si>
  <si>
    <t>Carbon (%)</t>
  </si>
  <si>
    <r>
      <t>BD (</t>
    </r>
    <r>
      <rPr>
        <b/>
        <sz val="10"/>
        <color rgb="FF000000"/>
        <rFont val="Arial"/>
        <family val="2"/>
      </rPr>
      <t>g cm</t>
    </r>
    <r>
      <rPr>
        <b/>
        <vertAlign val="superscript"/>
        <sz val="10"/>
        <color rgb="FF000000"/>
        <rFont val="Arial"/>
        <family val="2"/>
      </rPr>
      <t>-3</t>
    </r>
    <r>
      <rPr>
        <b/>
        <sz val="11"/>
        <color rgb="FF000000"/>
        <rFont val="Arial"/>
        <family val="2"/>
      </rPr>
      <t>)</t>
    </r>
  </si>
  <si>
    <t>TOC (%)</t>
  </si>
  <si>
    <r>
      <t>Loss Carbon (t C ha</t>
    </r>
    <r>
      <rPr>
        <b/>
        <vertAlign val="superscript"/>
        <sz val="11"/>
        <color rgb="FF000000"/>
        <rFont val="Arial"/>
        <family val="2"/>
      </rPr>
      <t>-1</t>
    </r>
    <r>
      <rPr>
        <b/>
        <sz val="11"/>
        <color rgb="FF000000"/>
        <rFont val="Arial"/>
        <family val="2"/>
      </rPr>
      <t>)</t>
    </r>
  </si>
  <si>
    <t>Loss Carbon (t C ha-1)</t>
  </si>
  <si>
    <t>Variabel</t>
  </si>
  <si>
    <t>Faktor</t>
  </si>
  <si>
    <t>Shapiro-Wilk Test (Normalitas)</t>
  </si>
  <si>
    <t>Uji T</t>
  </si>
  <si>
    <t>T Test: Two Independent Samples</t>
  </si>
  <si>
    <t>SUMMARY</t>
  </si>
  <si>
    <t>Hyp Mean Diff</t>
  </si>
  <si>
    <t>Groups</t>
  </si>
  <si>
    <t>Cohen d</t>
  </si>
  <si>
    <t>Pooled</t>
  </si>
  <si>
    <t>T TEST: Equal Variances</t>
  </si>
  <si>
    <t>Alpha</t>
  </si>
  <si>
    <t xml:space="preserve"> </t>
  </si>
  <si>
    <t>std err</t>
  </si>
  <si>
    <t>t-stat</t>
  </si>
  <si>
    <t>t-crit</t>
  </si>
  <si>
    <t>lower</t>
  </si>
  <si>
    <t>upper</t>
  </si>
  <si>
    <t>sig</t>
  </si>
  <si>
    <t>effect r</t>
  </si>
  <si>
    <t>One Tail</t>
  </si>
  <si>
    <t>Two Tail</t>
  </si>
  <si>
    <t>T TEST: Unequal Variances</t>
  </si>
  <si>
    <t>N</t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</si>
  <si>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-Value</t>
    </r>
  </si>
  <si>
    <r>
      <t>BI (g/cm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)</t>
    </r>
  </si>
  <si>
    <t>Emisi Carbon Subsiden (ton/ha)</t>
  </si>
  <si>
    <t xml:space="preserve">  </t>
  </si>
  <si>
    <t>m/hari</t>
  </si>
  <si>
    <t>m/jam</t>
  </si>
  <si>
    <t>m/menit</t>
  </si>
  <si>
    <t>m/s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</si>
</sst>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6" formatCode="0.0000"/>
    <numFmt numFmtId="167" formatCode="0.0"/>
  </numFmts>
  <fonts count="16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charset val="1"/>
      <scheme val="minor"/>
    </font>
    <font>
      <i/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  <font>
      <b/>
      <vertAlign val="superscript"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20">
    <xf numFmtId="0" fontId="0" fillId="0" borderId="0" xfId="0"/>
    <xf numFmtId="0" fontId="0" fillId="0" borderId="1" xfId="0" applyBorder="1"/>
    <xf numFmtId="0" fontId="0" fillId="0" borderId="1" xfId="0" applyFill="1" applyBorder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2" borderId="1" xfId="0" applyFill="1" applyBorder="1"/>
    <xf numFmtId="0" fontId="0" fillId="0" borderId="0" xfId="0" applyFill="1" applyBorder="1"/>
    <xf numFmtId="0" fontId="0" fillId="0" borderId="1" xfId="0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0" fontId="0" fillId="0" borderId="6" xfId="0" applyBorder="1" applyAlignment="1">
      <alignment wrapText="1"/>
    </xf>
    <xf numFmtId="166" fontId="0" fillId="0" borderId="6" xfId="0" applyNumberFormat="1" applyBorder="1" applyAlignment="1">
      <alignment horizontal="center" wrapText="1"/>
    </xf>
    <xf numFmtId="0" fontId="0" fillId="0" borderId="0" xfId="0" applyFill="1" applyBorder="1" applyAlignment="1"/>
    <xf numFmtId="0" fontId="4" fillId="0" borderId="7" xfId="0" applyFont="1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6" fontId="0" fillId="0" borderId="0" xfId="0" applyNumberFormat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5" fillId="0" borderId="0" xfId="1" applyNumberFormat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2" fontId="0" fillId="0" borderId="0" xfId="0" applyNumberFormat="1"/>
    <xf numFmtId="167" fontId="0" fillId="0" borderId="0" xfId="0" applyNumberFormat="1"/>
    <xf numFmtId="0" fontId="0" fillId="0" borderId="0" xfId="0" applyFill="1" applyBorder="1" applyAlignment="1">
      <alignment wrapText="1"/>
    </xf>
    <xf numFmtId="0" fontId="0" fillId="0" borderId="0" xfId="0" applyBorder="1" applyAlignment="1">
      <alignment horizontal="center" wrapText="1"/>
    </xf>
    <xf numFmtId="0" fontId="0" fillId="0" borderId="5" xfId="0" applyBorder="1"/>
    <xf numFmtId="0" fontId="7" fillId="0" borderId="5" xfId="0" applyFont="1" applyBorder="1" applyAlignment="1">
      <alignment horizontal="center"/>
    </xf>
    <xf numFmtId="0" fontId="0" fillId="0" borderId="10" xfId="0" applyBorder="1"/>
    <xf numFmtId="0" fontId="7" fillId="0" borderId="0" xfId="0" applyFont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5" xfId="0" applyBorder="1" applyAlignment="1">
      <alignment horizontal="right"/>
    </xf>
    <xf numFmtId="0" fontId="0" fillId="0" borderId="14" xfId="0" applyBorder="1"/>
    <xf numFmtId="2" fontId="0" fillId="0" borderId="0" xfId="0" applyNumberFormat="1" applyAlignment="1">
      <alignment horizontal="center" wrapText="1"/>
    </xf>
    <xf numFmtId="0" fontId="0" fillId="0" borderId="10" xfId="0" applyBorder="1" applyAlignment="1">
      <alignment wrapText="1"/>
    </xf>
    <xf numFmtId="2" fontId="0" fillId="0" borderId="12" xfId="0" applyNumberFormat="1" applyBorder="1"/>
    <xf numFmtId="2" fontId="0" fillId="0" borderId="13" xfId="0" applyNumberForma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2" fontId="0" fillId="0" borderId="17" xfId="0" applyNumberFormat="1" applyBorder="1"/>
    <xf numFmtId="2" fontId="0" fillId="0" borderId="18" xfId="0" applyNumberFormat="1" applyBorder="1"/>
    <xf numFmtId="2" fontId="0" fillId="0" borderId="19" xfId="0" applyNumberFormat="1" applyBorder="1"/>
    <xf numFmtId="2" fontId="0" fillId="0" borderId="20" xfId="0" applyNumberFormat="1" applyBorder="1"/>
    <xf numFmtId="0" fontId="0" fillId="0" borderId="21" xfId="0" applyBorder="1"/>
    <xf numFmtId="2" fontId="0" fillId="0" borderId="0" xfId="0" applyNumberFormat="1" applyBorder="1" applyAlignment="1">
      <alignment horizontal="center" vertical="center"/>
    </xf>
    <xf numFmtId="0" fontId="12" fillId="0" borderId="23" xfId="0" applyFont="1" applyBorder="1" applyAlignment="1">
      <alignment horizontal="left" vertical="center"/>
    </xf>
    <xf numFmtId="4" fontId="12" fillId="0" borderId="24" xfId="0" applyNumberFormat="1" applyFont="1" applyBorder="1" applyAlignment="1">
      <alignment horizontal="right" vertical="center"/>
    </xf>
    <xf numFmtId="0" fontId="12" fillId="0" borderId="25" xfId="0" applyFont="1" applyFill="1" applyBorder="1" applyAlignment="1">
      <alignment horizontal="left" vertical="center"/>
    </xf>
    <xf numFmtId="2" fontId="12" fillId="0" borderId="24" xfId="0" applyNumberFormat="1" applyFont="1" applyBorder="1" applyAlignment="1">
      <alignment horizontal="right" vertical="center"/>
    </xf>
    <xf numFmtId="4" fontId="0" fillId="0" borderId="0" xfId="0" applyNumberFormat="1"/>
    <xf numFmtId="0" fontId="0" fillId="0" borderId="5" xfId="0" applyBorder="1" applyAlignment="1">
      <alignment wrapText="1"/>
    </xf>
    <xf numFmtId="0" fontId="7" fillId="0" borderId="5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166" fontId="0" fillId="0" borderId="12" xfId="0" applyNumberFormat="1" applyBorder="1" applyAlignment="1">
      <alignment wrapText="1"/>
    </xf>
    <xf numFmtId="166" fontId="0" fillId="0" borderId="13" xfId="0" applyNumberFormat="1" applyBorder="1" applyAlignment="1">
      <alignment wrapText="1"/>
    </xf>
    <xf numFmtId="0" fontId="0" fillId="0" borderId="5" xfId="0" applyBorder="1" applyAlignment="1">
      <alignment horizontal="right" wrapText="1"/>
    </xf>
    <xf numFmtId="0" fontId="0" fillId="0" borderId="21" xfId="0" applyBorder="1" applyAlignment="1">
      <alignment wrapText="1"/>
    </xf>
    <xf numFmtId="0" fontId="7" fillId="0" borderId="27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3" fillId="3" borderId="26" xfId="1" applyFont="1" applyFill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" xfId="0" applyFont="1" applyBorder="1"/>
    <xf numFmtId="2" fontId="13" fillId="0" borderId="1" xfId="0" applyNumberFormat="1" applyFont="1" applyBorder="1"/>
    <xf numFmtId="4" fontId="13" fillId="0" borderId="1" xfId="0" applyNumberFormat="1" applyFont="1" applyBorder="1"/>
    <xf numFmtId="166" fontId="0" fillId="0" borderId="0" xfId="0" applyNumberFormat="1" applyBorder="1" applyAlignment="1">
      <alignment horizontal="center" wrapText="1"/>
    </xf>
    <xf numFmtId="2" fontId="0" fillId="0" borderId="0" xfId="0" applyNumberFormat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right" wrapText="1"/>
    </xf>
    <xf numFmtId="2" fontId="13" fillId="0" borderId="1" xfId="0" applyNumberFormat="1" applyFont="1" applyBorder="1" applyAlignment="1">
      <alignment horizontal="center" vertical="center" wrapText="1"/>
    </xf>
    <xf numFmtId="0" fontId="13" fillId="0" borderId="26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2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173840769903762"/>
          <c:y val="5.0925925925925923E-2"/>
          <c:w val="0.85615048118985126"/>
          <c:h val="0.76522346165062716"/>
        </c:manualLayout>
      </c:layout>
      <c:scatterChart>
        <c:scatterStyle val="lineMarker"/>
        <c:varyColors val="0"/>
        <c:ser>
          <c:idx val="0"/>
          <c:order val="0"/>
          <c:tx>
            <c:v>Plot 1-1</c:v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9050">
                <a:solidFill>
                  <a:schemeClr val="accent1"/>
                </a:solidFill>
              </a:ln>
              <a:effectLst/>
            </c:spPr>
          </c:marker>
          <c:xVal>
            <c:numRef>
              <c:f>'T1'!$B$4:$B$39</c:f>
              <c:numCache>
                <c:formatCode>General</c:formatCode>
                <c:ptCount val="3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33</c:v>
                </c:pt>
                <c:pt idx="32">
                  <c:v>36</c:v>
                </c:pt>
                <c:pt idx="33">
                  <c:v>39</c:v>
                </c:pt>
                <c:pt idx="34">
                  <c:v>42</c:v>
                </c:pt>
                <c:pt idx="35">
                  <c:v>45</c:v>
                </c:pt>
              </c:numCache>
            </c:numRef>
          </c:xVal>
          <c:yVal>
            <c:numRef>
              <c:f>'T1'!$C$4:$C$39</c:f>
              <c:numCache>
                <c:formatCode>General</c:formatCode>
                <c:ptCount val="36"/>
                <c:pt idx="0">
                  <c:v>65</c:v>
                </c:pt>
                <c:pt idx="1">
                  <c:v>65</c:v>
                </c:pt>
                <c:pt idx="2">
                  <c:v>63.5</c:v>
                </c:pt>
                <c:pt idx="3">
                  <c:v>62</c:v>
                </c:pt>
                <c:pt idx="4">
                  <c:v>60.5</c:v>
                </c:pt>
                <c:pt idx="5">
                  <c:v>59.5</c:v>
                </c:pt>
                <c:pt idx="6">
                  <c:v>58</c:v>
                </c:pt>
                <c:pt idx="7">
                  <c:v>56.5</c:v>
                </c:pt>
                <c:pt idx="8">
                  <c:v>56</c:v>
                </c:pt>
                <c:pt idx="9">
                  <c:v>55</c:v>
                </c:pt>
                <c:pt idx="10">
                  <c:v>54</c:v>
                </c:pt>
                <c:pt idx="11">
                  <c:v>53.5</c:v>
                </c:pt>
                <c:pt idx="12">
                  <c:v>52.5</c:v>
                </c:pt>
                <c:pt idx="13">
                  <c:v>52</c:v>
                </c:pt>
                <c:pt idx="14">
                  <c:v>51</c:v>
                </c:pt>
                <c:pt idx="15">
                  <c:v>50</c:v>
                </c:pt>
                <c:pt idx="16">
                  <c:v>50</c:v>
                </c:pt>
                <c:pt idx="17">
                  <c:v>49.5</c:v>
                </c:pt>
                <c:pt idx="18">
                  <c:v>48.5</c:v>
                </c:pt>
                <c:pt idx="19">
                  <c:v>48</c:v>
                </c:pt>
                <c:pt idx="20">
                  <c:v>47</c:v>
                </c:pt>
                <c:pt idx="21">
                  <c:v>47</c:v>
                </c:pt>
                <c:pt idx="22">
                  <c:v>46.5</c:v>
                </c:pt>
                <c:pt idx="23">
                  <c:v>46.5</c:v>
                </c:pt>
                <c:pt idx="24">
                  <c:v>45.5</c:v>
                </c:pt>
                <c:pt idx="25">
                  <c:v>45.5</c:v>
                </c:pt>
                <c:pt idx="26">
                  <c:v>45</c:v>
                </c:pt>
                <c:pt idx="27">
                  <c:v>45</c:v>
                </c:pt>
                <c:pt idx="28">
                  <c:v>44.5</c:v>
                </c:pt>
                <c:pt idx="29">
                  <c:v>44</c:v>
                </c:pt>
                <c:pt idx="30">
                  <c:v>44</c:v>
                </c:pt>
                <c:pt idx="31">
                  <c:v>43.5</c:v>
                </c:pt>
                <c:pt idx="32">
                  <c:v>43</c:v>
                </c:pt>
                <c:pt idx="33">
                  <c:v>43</c:v>
                </c:pt>
                <c:pt idx="34">
                  <c:v>42</c:v>
                </c:pt>
                <c:pt idx="35">
                  <c:v>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B11-42EF-846F-6B17B48B6212}"/>
            </c:ext>
          </c:extLst>
        </c:ser>
        <c:ser>
          <c:idx val="1"/>
          <c:order val="1"/>
          <c:tx>
            <c:v>Plot 1-2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9050">
                <a:solidFill>
                  <a:srgbClr val="C00000"/>
                </a:solidFill>
              </a:ln>
              <a:effectLst/>
            </c:spPr>
          </c:marker>
          <c:xVal>
            <c:numRef>
              <c:f>'T1'!$F$4:$F$39</c:f>
              <c:numCache>
                <c:formatCode>General</c:formatCode>
                <c:ptCount val="3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33</c:v>
                </c:pt>
                <c:pt idx="32">
                  <c:v>36</c:v>
                </c:pt>
                <c:pt idx="33">
                  <c:v>39</c:v>
                </c:pt>
                <c:pt idx="34">
                  <c:v>42</c:v>
                </c:pt>
                <c:pt idx="35">
                  <c:v>45</c:v>
                </c:pt>
              </c:numCache>
            </c:numRef>
          </c:xVal>
          <c:yVal>
            <c:numRef>
              <c:f>'T1'!$G$4:$G$39</c:f>
              <c:numCache>
                <c:formatCode>General</c:formatCode>
                <c:ptCount val="36"/>
                <c:pt idx="0">
                  <c:v>62</c:v>
                </c:pt>
                <c:pt idx="1">
                  <c:v>60</c:v>
                </c:pt>
                <c:pt idx="2">
                  <c:v>59.5</c:v>
                </c:pt>
                <c:pt idx="3">
                  <c:v>59</c:v>
                </c:pt>
                <c:pt idx="4">
                  <c:v>59</c:v>
                </c:pt>
                <c:pt idx="5">
                  <c:v>58.5</c:v>
                </c:pt>
                <c:pt idx="6">
                  <c:v>58</c:v>
                </c:pt>
                <c:pt idx="7">
                  <c:v>57.5</c:v>
                </c:pt>
                <c:pt idx="8">
                  <c:v>57</c:v>
                </c:pt>
                <c:pt idx="9">
                  <c:v>57</c:v>
                </c:pt>
                <c:pt idx="10">
                  <c:v>56.5</c:v>
                </c:pt>
                <c:pt idx="11">
                  <c:v>56</c:v>
                </c:pt>
                <c:pt idx="12">
                  <c:v>55.5</c:v>
                </c:pt>
                <c:pt idx="13">
                  <c:v>55</c:v>
                </c:pt>
                <c:pt idx="14">
                  <c:v>54.5</c:v>
                </c:pt>
                <c:pt idx="15">
                  <c:v>54</c:v>
                </c:pt>
                <c:pt idx="16">
                  <c:v>54</c:v>
                </c:pt>
                <c:pt idx="17">
                  <c:v>53.5</c:v>
                </c:pt>
                <c:pt idx="18">
                  <c:v>52.5</c:v>
                </c:pt>
                <c:pt idx="19">
                  <c:v>52.5</c:v>
                </c:pt>
                <c:pt idx="20">
                  <c:v>52</c:v>
                </c:pt>
                <c:pt idx="21">
                  <c:v>52</c:v>
                </c:pt>
                <c:pt idx="22">
                  <c:v>52</c:v>
                </c:pt>
                <c:pt idx="23">
                  <c:v>51.5</c:v>
                </c:pt>
                <c:pt idx="24">
                  <c:v>50.5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49.5</c:v>
                </c:pt>
                <c:pt idx="31">
                  <c:v>48.5</c:v>
                </c:pt>
                <c:pt idx="32">
                  <c:v>47.5</c:v>
                </c:pt>
                <c:pt idx="33">
                  <c:v>47</c:v>
                </c:pt>
                <c:pt idx="34">
                  <c:v>46.5</c:v>
                </c:pt>
                <c:pt idx="35">
                  <c:v>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B11-42EF-846F-6B17B48B6212}"/>
            </c:ext>
          </c:extLst>
        </c:ser>
        <c:ser>
          <c:idx val="2"/>
          <c:order val="2"/>
          <c:tx>
            <c:v>Plot 1-3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9050">
                <a:solidFill>
                  <a:schemeClr val="accent3">
                    <a:lumMod val="50000"/>
                  </a:schemeClr>
                </a:solidFill>
              </a:ln>
              <a:effectLst/>
            </c:spPr>
          </c:marker>
          <c:xVal>
            <c:numRef>
              <c:f>'T1'!$J$4:$J$17</c:f>
              <c:numCache>
                <c:formatCode>General</c:formatCode>
                <c:ptCount val="1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</c:numCache>
            </c:numRef>
          </c:xVal>
          <c:yVal>
            <c:numRef>
              <c:f>'T1'!$K$4:$K$17</c:f>
              <c:numCache>
                <c:formatCode>General</c:formatCode>
                <c:ptCount val="14"/>
                <c:pt idx="0">
                  <c:v>50.5</c:v>
                </c:pt>
                <c:pt idx="1">
                  <c:v>50</c:v>
                </c:pt>
                <c:pt idx="2">
                  <c:v>44</c:v>
                </c:pt>
                <c:pt idx="3">
                  <c:v>40</c:v>
                </c:pt>
                <c:pt idx="4">
                  <c:v>38</c:v>
                </c:pt>
                <c:pt idx="5">
                  <c:v>36</c:v>
                </c:pt>
                <c:pt idx="6">
                  <c:v>35</c:v>
                </c:pt>
                <c:pt idx="7">
                  <c:v>35</c:v>
                </c:pt>
                <c:pt idx="8">
                  <c:v>34</c:v>
                </c:pt>
                <c:pt idx="9">
                  <c:v>34</c:v>
                </c:pt>
                <c:pt idx="10">
                  <c:v>34</c:v>
                </c:pt>
                <c:pt idx="11">
                  <c:v>34</c:v>
                </c:pt>
                <c:pt idx="12">
                  <c:v>34</c:v>
                </c:pt>
                <c:pt idx="13">
                  <c:v>33.5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B11-42EF-846F-6B17B48B62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0949888"/>
        <c:axId val="360950280"/>
      </c:scatterChart>
      <c:valAx>
        <c:axId val="3609498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ID" sz="11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Waktu (menit ke-)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0950280"/>
        <c:crosses val="autoZero"/>
        <c:crossBetween val="midCat"/>
        <c:majorUnit val="5"/>
      </c:valAx>
      <c:valAx>
        <c:axId val="360950280"/>
        <c:scaling>
          <c:orientation val="minMax"/>
          <c:max val="8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ID" sz="11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Muka Air Tanah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094988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49205558128763316"/>
          <c:y val="6.3367235345581807E-2"/>
          <c:w val="0.46186592300962381"/>
          <c:h val="0.146413677456984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173840769903762"/>
          <c:y val="5.0925925925925923E-2"/>
          <c:w val="0.85615048118985126"/>
          <c:h val="0.76522346165062716"/>
        </c:manualLayout>
      </c:layout>
      <c:scatterChart>
        <c:scatterStyle val="lineMarker"/>
        <c:varyColors val="0"/>
        <c:ser>
          <c:idx val="0"/>
          <c:order val="0"/>
          <c:tx>
            <c:v>Plot 9-1</c:v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9050">
                <a:solidFill>
                  <a:schemeClr val="accent1"/>
                </a:solidFill>
              </a:ln>
              <a:effectLst/>
            </c:spPr>
          </c:marker>
          <c:xVal>
            <c:numRef>
              <c:f>'T2'!$B$4:$B$35</c:f>
              <c:numCache>
                <c:formatCode>General</c:formatCode>
                <c:ptCount val="3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33</c:v>
                </c:pt>
              </c:numCache>
            </c:numRef>
          </c:xVal>
          <c:yVal>
            <c:numRef>
              <c:f>'T2'!$C$4:$C$35</c:f>
              <c:numCache>
                <c:formatCode>General</c:formatCode>
                <c:ptCount val="32"/>
                <c:pt idx="0">
                  <c:v>43.5</c:v>
                </c:pt>
                <c:pt idx="1">
                  <c:v>43.3</c:v>
                </c:pt>
                <c:pt idx="2">
                  <c:v>42.5</c:v>
                </c:pt>
                <c:pt idx="3">
                  <c:v>41.6</c:v>
                </c:pt>
                <c:pt idx="4">
                  <c:v>40.5</c:v>
                </c:pt>
                <c:pt idx="5">
                  <c:v>39.4</c:v>
                </c:pt>
                <c:pt idx="6">
                  <c:v>38.5</c:v>
                </c:pt>
                <c:pt idx="7">
                  <c:v>38.1</c:v>
                </c:pt>
                <c:pt idx="8">
                  <c:v>37.299999999999997</c:v>
                </c:pt>
                <c:pt idx="9">
                  <c:v>36.4</c:v>
                </c:pt>
                <c:pt idx="10">
                  <c:v>35.799999999999997</c:v>
                </c:pt>
                <c:pt idx="11">
                  <c:v>35.1</c:v>
                </c:pt>
                <c:pt idx="12">
                  <c:v>34.200000000000003</c:v>
                </c:pt>
                <c:pt idx="13">
                  <c:v>34</c:v>
                </c:pt>
                <c:pt idx="14">
                  <c:v>33.299999999999997</c:v>
                </c:pt>
                <c:pt idx="15">
                  <c:v>33</c:v>
                </c:pt>
                <c:pt idx="16">
                  <c:v>32.200000000000003</c:v>
                </c:pt>
                <c:pt idx="17">
                  <c:v>31.8</c:v>
                </c:pt>
                <c:pt idx="18">
                  <c:v>31.5</c:v>
                </c:pt>
                <c:pt idx="19">
                  <c:v>31.1</c:v>
                </c:pt>
                <c:pt idx="20">
                  <c:v>30.6</c:v>
                </c:pt>
                <c:pt idx="21">
                  <c:v>30.3</c:v>
                </c:pt>
                <c:pt idx="22">
                  <c:v>30</c:v>
                </c:pt>
                <c:pt idx="23">
                  <c:v>29.7</c:v>
                </c:pt>
                <c:pt idx="24">
                  <c:v>29.4</c:v>
                </c:pt>
                <c:pt idx="25">
                  <c:v>29</c:v>
                </c:pt>
                <c:pt idx="26">
                  <c:v>28.6</c:v>
                </c:pt>
                <c:pt idx="27">
                  <c:v>28.2</c:v>
                </c:pt>
                <c:pt idx="28">
                  <c:v>27.9</c:v>
                </c:pt>
                <c:pt idx="29">
                  <c:v>27.5</c:v>
                </c:pt>
                <c:pt idx="30">
                  <c:v>27.2</c:v>
                </c:pt>
                <c:pt idx="31">
                  <c:v>26.5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92D-4249-921A-FD1B1843E248}"/>
            </c:ext>
          </c:extLst>
        </c:ser>
        <c:ser>
          <c:idx val="1"/>
          <c:order val="1"/>
          <c:tx>
            <c:v>Plot 9-2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9050">
                <a:solidFill>
                  <a:srgbClr val="C00000"/>
                </a:solidFill>
              </a:ln>
              <a:effectLst/>
            </c:spPr>
          </c:marker>
          <c:xVal>
            <c:numRef>
              <c:f>'T2'!$F$4:$F$29</c:f>
              <c:numCache>
                <c:formatCode>General</c:formatCode>
                <c:ptCount val="2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</c:numCache>
            </c:numRef>
          </c:xVal>
          <c:yVal>
            <c:numRef>
              <c:f>'T2'!$G$4:$G$29</c:f>
              <c:numCache>
                <c:formatCode>General</c:formatCode>
                <c:ptCount val="26"/>
                <c:pt idx="0">
                  <c:v>37.5</c:v>
                </c:pt>
                <c:pt idx="1">
                  <c:v>37</c:v>
                </c:pt>
                <c:pt idx="2">
                  <c:v>35.799999999999997</c:v>
                </c:pt>
                <c:pt idx="3">
                  <c:v>34.9</c:v>
                </c:pt>
                <c:pt idx="4">
                  <c:v>33.799999999999997</c:v>
                </c:pt>
                <c:pt idx="5">
                  <c:v>33</c:v>
                </c:pt>
                <c:pt idx="6">
                  <c:v>32</c:v>
                </c:pt>
                <c:pt idx="7">
                  <c:v>31.2</c:v>
                </c:pt>
                <c:pt idx="8">
                  <c:v>30.3</c:v>
                </c:pt>
                <c:pt idx="9">
                  <c:v>29.8</c:v>
                </c:pt>
                <c:pt idx="10">
                  <c:v>29</c:v>
                </c:pt>
                <c:pt idx="11">
                  <c:v>28.3</c:v>
                </c:pt>
                <c:pt idx="12">
                  <c:v>27.7</c:v>
                </c:pt>
                <c:pt idx="13">
                  <c:v>27.1</c:v>
                </c:pt>
                <c:pt idx="14">
                  <c:v>26.6</c:v>
                </c:pt>
                <c:pt idx="15">
                  <c:v>26.2</c:v>
                </c:pt>
                <c:pt idx="16">
                  <c:v>25.7</c:v>
                </c:pt>
                <c:pt idx="17">
                  <c:v>24.8</c:v>
                </c:pt>
                <c:pt idx="18">
                  <c:v>24.2</c:v>
                </c:pt>
                <c:pt idx="19">
                  <c:v>23.6</c:v>
                </c:pt>
                <c:pt idx="20">
                  <c:v>23</c:v>
                </c:pt>
                <c:pt idx="21">
                  <c:v>22.8</c:v>
                </c:pt>
                <c:pt idx="22">
                  <c:v>22.4</c:v>
                </c:pt>
                <c:pt idx="23">
                  <c:v>22.2</c:v>
                </c:pt>
                <c:pt idx="24">
                  <c:v>21.7</c:v>
                </c:pt>
                <c:pt idx="25">
                  <c:v>21.4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92D-4249-921A-FD1B1843E248}"/>
            </c:ext>
          </c:extLst>
        </c:ser>
        <c:ser>
          <c:idx val="2"/>
          <c:order val="2"/>
          <c:tx>
            <c:v>Plot 9-3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9050">
                <a:solidFill>
                  <a:schemeClr val="accent3">
                    <a:lumMod val="50000"/>
                  </a:schemeClr>
                </a:solidFill>
              </a:ln>
              <a:effectLst/>
            </c:spPr>
          </c:marker>
          <c:xVal>
            <c:numRef>
              <c:f>'T2'!$J$4:$J$18</c:f>
              <c:numCache>
                <c:formatCode>General</c:formatCode>
                <c:ptCount val="1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</c:numCache>
            </c:numRef>
          </c:xVal>
          <c:yVal>
            <c:numRef>
              <c:f>'T2'!$K$4:$K$18</c:f>
              <c:numCache>
                <c:formatCode>General</c:formatCode>
                <c:ptCount val="15"/>
                <c:pt idx="0">
                  <c:v>37</c:v>
                </c:pt>
                <c:pt idx="1">
                  <c:v>34.5</c:v>
                </c:pt>
                <c:pt idx="2">
                  <c:v>32.4</c:v>
                </c:pt>
                <c:pt idx="3">
                  <c:v>31.3</c:v>
                </c:pt>
                <c:pt idx="4">
                  <c:v>29.9</c:v>
                </c:pt>
                <c:pt idx="5">
                  <c:v>29.2</c:v>
                </c:pt>
                <c:pt idx="6">
                  <c:v>28.2</c:v>
                </c:pt>
                <c:pt idx="7">
                  <c:v>28</c:v>
                </c:pt>
                <c:pt idx="8">
                  <c:v>27.7</c:v>
                </c:pt>
                <c:pt idx="9">
                  <c:v>27.2</c:v>
                </c:pt>
                <c:pt idx="10">
                  <c:v>27.1</c:v>
                </c:pt>
                <c:pt idx="11">
                  <c:v>27</c:v>
                </c:pt>
                <c:pt idx="12">
                  <c:v>26.7</c:v>
                </c:pt>
                <c:pt idx="13">
                  <c:v>26.5</c:v>
                </c:pt>
                <c:pt idx="14">
                  <c:v>26.4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92D-4249-921A-FD1B1843E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3179712"/>
        <c:axId val="433179320"/>
      </c:scatterChart>
      <c:valAx>
        <c:axId val="4331797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ID" sz="11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Waktu (menit ke-)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3179320"/>
        <c:crosses val="autoZero"/>
        <c:crossBetween val="midCat"/>
        <c:majorUnit val="5"/>
      </c:valAx>
      <c:valAx>
        <c:axId val="433179320"/>
        <c:scaling>
          <c:orientation val="minMax"/>
          <c:max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ID" sz="11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Muka Air Tanah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31797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48944120220266585"/>
          <c:y val="6.3367235345581807E-2"/>
          <c:w val="0.46186592300962381"/>
          <c:h val="0.146413677456984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173840769903762"/>
          <c:y val="5.0925925925925923E-2"/>
          <c:w val="0.85615048118985126"/>
          <c:h val="0.76522346165062716"/>
        </c:manualLayout>
      </c:layout>
      <c:scatterChart>
        <c:scatterStyle val="lineMarker"/>
        <c:varyColors val="0"/>
        <c:ser>
          <c:idx val="0"/>
          <c:order val="0"/>
          <c:tx>
            <c:v>Plot 2-1</c:v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9050">
                <a:solidFill>
                  <a:schemeClr val="accent1"/>
                </a:solidFill>
              </a:ln>
              <a:effectLst/>
            </c:spPr>
          </c:marker>
          <c:xVal>
            <c:numRef>
              <c:f>'T3'!$B$4:$B$39</c:f>
              <c:numCache>
                <c:formatCode>General</c:formatCode>
                <c:ptCount val="3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33</c:v>
                </c:pt>
                <c:pt idx="32">
                  <c:v>36</c:v>
                </c:pt>
                <c:pt idx="33">
                  <c:v>39</c:v>
                </c:pt>
                <c:pt idx="34">
                  <c:v>42</c:v>
                </c:pt>
                <c:pt idx="35">
                  <c:v>45</c:v>
                </c:pt>
              </c:numCache>
            </c:numRef>
          </c:xVal>
          <c:yVal>
            <c:numRef>
              <c:f>'T3'!$C$4:$C$39</c:f>
              <c:numCache>
                <c:formatCode>General</c:formatCode>
                <c:ptCount val="36"/>
                <c:pt idx="0">
                  <c:v>72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69.7</c:v>
                </c:pt>
                <c:pt idx="5">
                  <c:v>68.599999999999994</c:v>
                </c:pt>
                <c:pt idx="6">
                  <c:v>68.400000000000006</c:v>
                </c:pt>
                <c:pt idx="7">
                  <c:v>68</c:v>
                </c:pt>
                <c:pt idx="8">
                  <c:v>68</c:v>
                </c:pt>
                <c:pt idx="9">
                  <c:v>67.7</c:v>
                </c:pt>
                <c:pt idx="10">
                  <c:v>67</c:v>
                </c:pt>
                <c:pt idx="11">
                  <c:v>66.7</c:v>
                </c:pt>
                <c:pt idx="12">
                  <c:v>66.5</c:v>
                </c:pt>
                <c:pt idx="13">
                  <c:v>66.400000000000006</c:v>
                </c:pt>
                <c:pt idx="14">
                  <c:v>65.5</c:v>
                </c:pt>
                <c:pt idx="15">
                  <c:v>65</c:v>
                </c:pt>
                <c:pt idx="16">
                  <c:v>65.5</c:v>
                </c:pt>
                <c:pt idx="17">
                  <c:v>65</c:v>
                </c:pt>
                <c:pt idx="18">
                  <c:v>64.8</c:v>
                </c:pt>
                <c:pt idx="19">
                  <c:v>64</c:v>
                </c:pt>
                <c:pt idx="20">
                  <c:v>64</c:v>
                </c:pt>
                <c:pt idx="21">
                  <c:v>64</c:v>
                </c:pt>
                <c:pt idx="22">
                  <c:v>64</c:v>
                </c:pt>
                <c:pt idx="23">
                  <c:v>63.7</c:v>
                </c:pt>
                <c:pt idx="24">
                  <c:v>63.5</c:v>
                </c:pt>
                <c:pt idx="25">
                  <c:v>63</c:v>
                </c:pt>
                <c:pt idx="26">
                  <c:v>63</c:v>
                </c:pt>
                <c:pt idx="27">
                  <c:v>62.5</c:v>
                </c:pt>
                <c:pt idx="28">
                  <c:v>62</c:v>
                </c:pt>
                <c:pt idx="29">
                  <c:v>61.5</c:v>
                </c:pt>
                <c:pt idx="30">
                  <c:v>61.5</c:v>
                </c:pt>
                <c:pt idx="31">
                  <c:v>61.2</c:v>
                </c:pt>
                <c:pt idx="32">
                  <c:v>60.7</c:v>
                </c:pt>
                <c:pt idx="33">
                  <c:v>60</c:v>
                </c:pt>
                <c:pt idx="34">
                  <c:v>59.5</c:v>
                </c:pt>
                <c:pt idx="35">
                  <c:v>58.8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780-40F4-BC56-8486FD339F53}"/>
            </c:ext>
          </c:extLst>
        </c:ser>
        <c:ser>
          <c:idx val="1"/>
          <c:order val="1"/>
          <c:tx>
            <c:v>Plot 2-2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9050">
                <a:solidFill>
                  <a:srgbClr val="C00000"/>
                </a:solidFill>
              </a:ln>
              <a:effectLst/>
            </c:spPr>
          </c:marker>
          <c:xVal>
            <c:numRef>
              <c:f>'T3'!$F$4:$F$39</c:f>
              <c:numCache>
                <c:formatCode>General</c:formatCode>
                <c:ptCount val="3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33</c:v>
                </c:pt>
                <c:pt idx="32">
                  <c:v>36</c:v>
                </c:pt>
                <c:pt idx="33">
                  <c:v>39</c:v>
                </c:pt>
                <c:pt idx="34">
                  <c:v>42</c:v>
                </c:pt>
                <c:pt idx="35">
                  <c:v>45</c:v>
                </c:pt>
              </c:numCache>
            </c:numRef>
          </c:xVal>
          <c:yVal>
            <c:numRef>
              <c:f>'T3'!$G$4:$G$39</c:f>
              <c:numCache>
                <c:formatCode>General</c:formatCode>
                <c:ptCount val="36"/>
                <c:pt idx="0">
                  <c:v>61</c:v>
                </c:pt>
                <c:pt idx="1">
                  <c:v>60</c:v>
                </c:pt>
                <c:pt idx="2">
                  <c:v>59.5</c:v>
                </c:pt>
                <c:pt idx="3">
                  <c:v>58</c:v>
                </c:pt>
                <c:pt idx="4">
                  <c:v>57</c:v>
                </c:pt>
                <c:pt idx="5">
                  <c:v>56.8</c:v>
                </c:pt>
                <c:pt idx="6">
                  <c:v>56</c:v>
                </c:pt>
                <c:pt idx="7">
                  <c:v>55</c:v>
                </c:pt>
                <c:pt idx="8">
                  <c:v>54.5</c:v>
                </c:pt>
                <c:pt idx="9">
                  <c:v>53.8</c:v>
                </c:pt>
                <c:pt idx="10">
                  <c:v>53</c:v>
                </c:pt>
                <c:pt idx="11">
                  <c:v>52.5</c:v>
                </c:pt>
                <c:pt idx="12">
                  <c:v>52</c:v>
                </c:pt>
                <c:pt idx="13">
                  <c:v>51.5</c:v>
                </c:pt>
                <c:pt idx="14">
                  <c:v>51</c:v>
                </c:pt>
                <c:pt idx="15">
                  <c:v>50.2</c:v>
                </c:pt>
                <c:pt idx="16">
                  <c:v>50</c:v>
                </c:pt>
                <c:pt idx="17">
                  <c:v>49.5</c:v>
                </c:pt>
                <c:pt idx="18">
                  <c:v>49</c:v>
                </c:pt>
                <c:pt idx="19">
                  <c:v>48.5</c:v>
                </c:pt>
                <c:pt idx="20">
                  <c:v>48</c:v>
                </c:pt>
                <c:pt idx="21">
                  <c:v>47.5</c:v>
                </c:pt>
                <c:pt idx="22">
                  <c:v>47.5</c:v>
                </c:pt>
                <c:pt idx="23">
                  <c:v>47</c:v>
                </c:pt>
                <c:pt idx="24">
                  <c:v>46.8</c:v>
                </c:pt>
                <c:pt idx="25">
                  <c:v>46.5</c:v>
                </c:pt>
                <c:pt idx="26">
                  <c:v>46.4</c:v>
                </c:pt>
                <c:pt idx="27">
                  <c:v>45.5</c:v>
                </c:pt>
                <c:pt idx="28">
                  <c:v>45</c:v>
                </c:pt>
                <c:pt idx="29">
                  <c:v>45</c:v>
                </c:pt>
                <c:pt idx="30">
                  <c:v>44</c:v>
                </c:pt>
                <c:pt idx="31">
                  <c:v>44</c:v>
                </c:pt>
                <c:pt idx="32">
                  <c:v>43.5</c:v>
                </c:pt>
                <c:pt idx="33">
                  <c:v>43</c:v>
                </c:pt>
                <c:pt idx="34">
                  <c:v>42</c:v>
                </c:pt>
                <c:pt idx="35">
                  <c:v>41.5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780-40F4-BC56-8486FD339F53}"/>
            </c:ext>
          </c:extLst>
        </c:ser>
        <c:ser>
          <c:idx val="2"/>
          <c:order val="2"/>
          <c:tx>
            <c:v>Plot 2-3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9050">
                <a:solidFill>
                  <a:schemeClr val="accent3">
                    <a:lumMod val="50000"/>
                  </a:schemeClr>
                </a:solidFill>
              </a:ln>
              <a:effectLst/>
            </c:spPr>
          </c:marker>
          <c:xVal>
            <c:numRef>
              <c:f>'T3'!$J$4:$J$39</c:f>
              <c:numCache>
                <c:formatCode>General</c:formatCode>
                <c:ptCount val="3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33</c:v>
                </c:pt>
                <c:pt idx="32">
                  <c:v>36</c:v>
                </c:pt>
                <c:pt idx="33">
                  <c:v>39</c:v>
                </c:pt>
                <c:pt idx="34">
                  <c:v>42</c:v>
                </c:pt>
                <c:pt idx="35">
                  <c:v>45</c:v>
                </c:pt>
              </c:numCache>
            </c:numRef>
          </c:xVal>
          <c:yVal>
            <c:numRef>
              <c:f>'T3'!$K$4:$K$39</c:f>
              <c:numCache>
                <c:formatCode>General</c:formatCode>
                <c:ptCount val="36"/>
                <c:pt idx="0">
                  <c:v>71</c:v>
                </c:pt>
                <c:pt idx="1">
                  <c:v>70</c:v>
                </c:pt>
                <c:pt idx="2">
                  <c:v>69.5</c:v>
                </c:pt>
                <c:pt idx="3">
                  <c:v>69</c:v>
                </c:pt>
                <c:pt idx="4">
                  <c:v>68.2</c:v>
                </c:pt>
                <c:pt idx="5">
                  <c:v>68</c:v>
                </c:pt>
                <c:pt idx="6">
                  <c:v>67.900000000000006</c:v>
                </c:pt>
                <c:pt idx="7">
                  <c:v>67</c:v>
                </c:pt>
                <c:pt idx="8">
                  <c:v>66.599999999999994</c:v>
                </c:pt>
                <c:pt idx="9">
                  <c:v>66</c:v>
                </c:pt>
                <c:pt idx="10">
                  <c:v>65.5</c:v>
                </c:pt>
                <c:pt idx="11">
                  <c:v>65.400000000000006</c:v>
                </c:pt>
                <c:pt idx="12">
                  <c:v>65</c:v>
                </c:pt>
                <c:pt idx="13">
                  <c:v>64.5</c:v>
                </c:pt>
                <c:pt idx="14">
                  <c:v>64</c:v>
                </c:pt>
                <c:pt idx="15">
                  <c:v>63.2</c:v>
                </c:pt>
                <c:pt idx="16">
                  <c:v>63</c:v>
                </c:pt>
                <c:pt idx="17">
                  <c:v>62.7</c:v>
                </c:pt>
                <c:pt idx="18">
                  <c:v>62</c:v>
                </c:pt>
                <c:pt idx="19">
                  <c:v>62</c:v>
                </c:pt>
                <c:pt idx="20">
                  <c:v>61.5</c:v>
                </c:pt>
                <c:pt idx="21">
                  <c:v>61</c:v>
                </c:pt>
                <c:pt idx="22">
                  <c:v>60.6</c:v>
                </c:pt>
                <c:pt idx="23">
                  <c:v>60.5</c:v>
                </c:pt>
                <c:pt idx="24">
                  <c:v>60</c:v>
                </c:pt>
                <c:pt idx="25">
                  <c:v>59.8</c:v>
                </c:pt>
                <c:pt idx="26">
                  <c:v>59.5</c:v>
                </c:pt>
                <c:pt idx="27">
                  <c:v>59</c:v>
                </c:pt>
                <c:pt idx="28">
                  <c:v>58.6</c:v>
                </c:pt>
                <c:pt idx="29">
                  <c:v>58.5</c:v>
                </c:pt>
                <c:pt idx="30">
                  <c:v>58</c:v>
                </c:pt>
                <c:pt idx="31">
                  <c:v>56.5</c:v>
                </c:pt>
                <c:pt idx="32">
                  <c:v>55.8</c:v>
                </c:pt>
                <c:pt idx="33">
                  <c:v>54.5</c:v>
                </c:pt>
                <c:pt idx="34">
                  <c:v>54</c:v>
                </c:pt>
                <c:pt idx="35">
                  <c:v>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780-40F4-BC56-8486FD339F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0951064"/>
        <c:axId val="433176576"/>
      </c:scatterChart>
      <c:valAx>
        <c:axId val="3609510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ID" sz="11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Waktu (menit ke-)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3176576"/>
        <c:crosses val="autoZero"/>
        <c:crossBetween val="midCat"/>
        <c:majorUnit val="5"/>
      </c:valAx>
      <c:valAx>
        <c:axId val="43317657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ID" sz="11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Muka Air Tanah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095106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0512747671246971"/>
          <c:y val="0.64207093904928547"/>
          <c:w val="0.46186592300962381"/>
          <c:h val="0.146413677456984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173840769903762"/>
          <c:y val="5.0925925925925923E-2"/>
          <c:w val="0.85615048118985126"/>
          <c:h val="0.76522346165062716"/>
        </c:manualLayout>
      </c:layout>
      <c:scatterChart>
        <c:scatterStyle val="lineMarker"/>
        <c:varyColors val="0"/>
        <c:ser>
          <c:idx val="0"/>
          <c:order val="0"/>
          <c:tx>
            <c:v>Plot 5-1</c:v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9050">
                <a:solidFill>
                  <a:schemeClr val="accent1"/>
                </a:solidFill>
              </a:ln>
              <a:effectLst/>
            </c:spPr>
          </c:marker>
          <c:xVal>
            <c:numRef>
              <c:f>'TT1'!$B$4:$B$38</c:f>
              <c:numCache>
                <c:formatCode>General</c:formatCode>
                <c:ptCount val="3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33</c:v>
                </c:pt>
                <c:pt idx="31">
                  <c:v>36</c:v>
                </c:pt>
                <c:pt idx="32">
                  <c:v>39</c:v>
                </c:pt>
                <c:pt idx="33">
                  <c:v>42</c:v>
                </c:pt>
                <c:pt idx="34">
                  <c:v>45</c:v>
                </c:pt>
              </c:numCache>
            </c:numRef>
          </c:xVal>
          <c:yVal>
            <c:numRef>
              <c:f>'TT1'!$C$4:$C$38</c:f>
              <c:numCache>
                <c:formatCode>General</c:formatCode>
                <c:ptCount val="35"/>
                <c:pt idx="0">
                  <c:v>59.5</c:v>
                </c:pt>
                <c:pt idx="1">
                  <c:v>59.5</c:v>
                </c:pt>
                <c:pt idx="2">
                  <c:v>58</c:v>
                </c:pt>
                <c:pt idx="3">
                  <c:v>58</c:v>
                </c:pt>
                <c:pt idx="4">
                  <c:v>58</c:v>
                </c:pt>
                <c:pt idx="5">
                  <c:v>58</c:v>
                </c:pt>
                <c:pt idx="6">
                  <c:v>58</c:v>
                </c:pt>
                <c:pt idx="7">
                  <c:v>57.8</c:v>
                </c:pt>
                <c:pt idx="8">
                  <c:v>57.5</c:v>
                </c:pt>
                <c:pt idx="9">
                  <c:v>57.4</c:v>
                </c:pt>
                <c:pt idx="10">
                  <c:v>57.2</c:v>
                </c:pt>
                <c:pt idx="11">
                  <c:v>56.8</c:v>
                </c:pt>
                <c:pt idx="12">
                  <c:v>56.4</c:v>
                </c:pt>
                <c:pt idx="13">
                  <c:v>56</c:v>
                </c:pt>
                <c:pt idx="14">
                  <c:v>55.5</c:v>
                </c:pt>
                <c:pt idx="15">
                  <c:v>55.2</c:v>
                </c:pt>
                <c:pt idx="16">
                  <c:v>55.1</c:v>
                </c:pt>
                <c:pt idx="17">
                  <c:v>55</c:v>
                </c:pt>
                <c:pt idx="18">
                  <c:v>54.9</c:v>
                </c:pt>
                <c:pt idx="19">
                  <c:v>54.9</c:v>
                </c:pt>
                <c:pt idx="20">
                  <c:v>54.7</c:v>
                </c:pt>
                <c:pt idx="21">
                  <c:v>54.6</c:v>
                </c:pt>
                <c:pt idx="22">
                  <c:v>54.6</c:v>
                </c:pt>
                <c:pt idx="23">
                  <c:v>54.4</c:v>
                </c:pt>
                <c:pt idx="24">
                  <c:v>54.3</c:v>
                </c:pt>
                <c:pt idx="25">
                  <c:v>54</c:v>
                </c:pt>
                <c:pt idx="26">
                  <c:v>53.9</c:v>
                </c:pt>
                <c:pt idx="27">
                  <c:v>53.7</c:v>
                </c:pt>
                <c:pt idx="28">
                  <c:v>53.6</c:v>
                </c:pt>
                <c:pt idx="29">
                  <c:v>53.5</c:v>
                </c:pt>
                <c:pt idx="30">
                  <c:v>53</c:v>
                </c:pt>
                <c:pt idx="31">
                  <c:v>52.5</c:v>
                </c:pt>
                <c:pt idx="32">
                  <c:v>51.7</c:v>
                </c:pt>
                <c:pt idx="33">
                  <c:v>51.6</c:v>
                </c:pt>
                <c:pt idx="34">
                  <c:v>51.2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3C1-4C78-9ED2-866C0EFEF0C7}"/>
            </c:ext>
          </c:extLst>
        </c:ser>
        <c:ser>
          <c:idx val="1"/>
          <c:order val="1"/>
          <c:tx>
            <c:v>Plot 5-2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9050">
                <a:solidFill>
                  <a:srgbClr val="C00000"/>
                </a:solidFill>
              </a:ln>
              <a:effectLst/>
            </c:spPr>
          </c:marker>
          <c:xVal>
            <c:numRef>
              <c:f>'TT1'!$F$4:$F$38</c:f>
              <c:numCache>
                <c:formatCode>General</c:formatCode>
                <c:ptCount val="3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33</c:v>
                </c:pt>
                <c:pt idx="31">
                  <c:v>36</c:v>
                </c:pt>
                <c:pt idx="32">
                  <c:v>39</c:v>
                </c:pt>
                <c:pt idx="33">
                  <c:v>42</c:v>
                </c:pt>
                <c:pt idx="34">
                  <c:v>45</c:v>
                </c:pt>
              </c:numCache>
            </c:numRef>
          </c:xVal>
          <c:yVal>
            <c:numRef>
              <c:f>'TT1'!$G$4:$G$38</c:f>
              <c:numCache>
                <c:formatCode>General</c:formatCode>
                <c:ptCount val="35"/>
                <c:pt idx="0">
                  <c:v>57.3</c:v>
                </c:pt>
                <c:pt idx="1">
                  <c:v>57.1</c:v>
                </c:pt>
                <c:pt idx="2">
                  <c:v>57</c:v>
                </c:pt>
                <c:pt idx="3">
                  <c:v>56.5</c:v>
                </c:pt>
                <c:pt idx="4">
                  <c:v>56.5</c:v>
                </c:pt>
                <c:pt idx="5">
                  <c:v>56.4</c:v>
                </c:pt>
                <c:pt idx="6">
                  <c:v>56.2</c:v>
                </c:pt>
                <c:pt idx="7">
                  <c:v>56</c:v>
                </c:pt>
                <c:pt idx="8">
                  <c:v>56</c:v>
                </c:pt>
                <c:pt idx="9">
                  <c:v>55.9</c:v>
                </c:pt>
                <c:pt idx="10">
                  <c:v>55.7</c:v>
                </c:pt>
                <c:pt idx="11">
                  <c:v>55.7</c:v>
                </c:pt>
                <c:pt idx="12">
                  <c:v>55.6</c:v>
                </c:pt>
                <c:pt idx="13">
                  <c:v>55.6</c:v>
                </c:pt>
                <c:pt idx="14">
                  <c:v>55.4</c:v>
                </c:pt>
                <c:pt idx="15">
                  <c:v>55.3</c:v>
                </c:pt>
                <c:pt idx="16">
                  <c:v>55.2</c:v>
                </c:pt>
                <c:pt idx="17">
                  <c:v>55.1</c:v>
                </c:pt>
                <c:pt idx="18">
                  <c:v>54.8</c:v>
                </c:pt>
                <c:pt idx="19">
                  <c:v>54.7</c:v>
                </c:pt>
                <c:pt idx="20">
                  <c:v>54.6</c:v>
                </c:pt>
                <c:pt idx="21">
                  <c:v>54.5</c:v>
                </c:pt>
                <c:pt idx="22">
                  <c:v>54.5</c:v>
                </c:pt>
                <c:pt idx="23">
                  <c:v>54.4</c:v>
                </c:pt>
                <c:pt idx="24">
                  <c:v>54.3</c:v>
                </c:pt>
                <c:pt idx="25">
                  <c:v>54.3</c:v>
                </c:pt>
                <c:pt idx="26">
                  <c:v>54.1</c:v>
                </c:pt>
                <c:pt idx="27">
                  <c:v>53.8</c:v>
                </c:pt>
                <c:pt idx="28">
                  <c:v>53.7</c:v>
                </c:pt>
                <c:pt idx="29">
                  <c:v>53.7</c:v>
                </c:pt>
                <c:pt idx="30">
                  <c:v>53.2</c:v>
                </c:pt>
                <c:pt idx="31">
                  <c:v>52.6</c:v>
                </c:pt>
                <c:pt idx="32">
                  <c:v>52.1</c:v>
                </c:pt>
                <c:pt idx="33">
                  <c:v>51.8</c:v>
                </c:pt>
                <c:pt idx="34">
                  <c:v>51.2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3C1-4C78-9ED2-866C0EFEF0C7}"/>
            </c:ext>
          </c:extLst>
        </c:ser>
        <c:ser>
          <c:idx val="2"/>
          <c:order val="2"/>
          <c:tx>
            <c:v>Plot 5-3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9050">
                <a:solidFill>
                  <a:schemeClr val="accent3">
                    <a:lumMod val="50000"/>
                  </a:schemeClr>
                </a:solidFill>
              </a:ln>
              <a:effectLst/>
            </c:spPr>
          </c:marker>
          <c:xVal>
            <c:numRef>
              <c:f>'TT1'!$J$4:$J$38</c:f>
              <c:numCache>
                <c:formatCode>General</c:formatCode>
                <c:ptCount val="3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33</c:v>
                </c:pt>
                <c:pt idx="31">
                  <c:v>36</c:v>
                </c:pt>
                <c:pt idx="32">
                  <c:v>39</c:v>
                </c:pt>
                <c:pt idx="33">
                  <c:v>42</c:v>
                </c:pt>
                <c:pt idx="34">
                  <c:v>45</c:v>
                </c:pt>
              </c:numCache>
            </c:numRef>
          </c:xVal>
          <c:yVal>
            <c:numRef>
              <c:f>'TT1'!$K$4:$K$38</c:f>
              <c:numCache>
                <c:formatCode>General</c:formatCode>
                <c:ptCount val="35"/>
                <c:pt idx="0">
                  <c:v>59.7</c:v>
                </c:pt>
                <c:pt idx="1">
                  <c:v>59.5</c:v>
                </c:pt>
                <c:pt idx="2">
                  <c:v>59.2</c:v>
                </c:pt>
                <c:pt idx="3">
                  <c:v>59</c:v>
                </c:pt>
                <c:pt idx="4">
                  <c:v>58.5</c:v>
                </c:pt>
                <c:pt idx="5">
                  <c:v>58.3</c:v>
                </c:pt>
                <c:pt idx="6">
                  <c:v>58.1</c:v>
                </c:pt>
                <c:pt idx="7">
                  <c:v>57.9</c:v>
                </c:pt>
                <c:pt idx="8">
                  <c:v>57.6</c:v>
                </c:pt>
                <c:pt idx="9">
                  <c:v>57.5</c:v>
                </c:pt>
                <c:pt idx="10">
                  <c:v>57.3</c:v>
                </c:pt>
                <c:pt idx="11">
                  <c:v>57.1</c:v>
                </c:pt>
                <c:pt idx="12">
                  <c:v>56.8</c:v>
                </c:pt>
                <c:pt idx="13">
                  <c:v>56.7</c:v>
                </c:pt>
                <c:pt idx="14">
                  <c:v>56.3</c:v>
                </c:pt>
                <c:pt idx="15">
                  <c:v>56.2</c:v>
                </c:pt>
                <c:pt idx="16">
                  <c:v>55.9</c:v>
                </c:pt>
                <c:pt idx="17">
                  <c:v>55.4</c:v>
                </c:pt>
                <c:pt idx="18">
                  <c:v>55.3</c:v>
                </c:pt>
                <c:pt idx="19">
                  <c:v>55</c:v>
                </c:pt>
                <c:pt idx="20">
                  <c:v>54.8</c:v>
                </c:pt>
                <c:pt idx="21">
                  <c:v>54.7</c:v>
                </c:pt>
                <c:pt idx="22">
                  <c:v>54.6</c:v>
                </c:pt>
                <c:pt idx="23">
                  <c:v>54.5</c:v>
                </c:pt>
                <c:pt idx="24">
                  <c:v>54.3</c:v>
                </c:pt>
                <c:pt idx="25">
                  <c:v>54.1</c:v>
                </c:pt>
                <c:pt idx="26">
                  <c:v>53.9</c:v>
                </c:pt>
                <c:pt idx="27">
                  <c:v>53.8</c:v>
                </c:pt>
                <c:pt idx="28">
                  <c:v>53.6</c:v>
                </c:pt>
                <c:pt idx="29">
                  <c:v>53.5</c:v>
                </c:pt>
                <c:pt idx="30">
                  <c:v>53</c:v>
                </c:pt>
                <c:pt idx="31">
                  <c:v>52.7</c:v>
                </c:pt>
                <c:pt idx="32">
                  <c:v>52.5</c:v>
                </c:pt>
                <c:pt idx="33">
                  <c:v>52.2</c:v>
                </c:pt>
                <c:pt idx="34">
                  <c:v>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3C1-4C78-9ED2-866C0EFEF0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3432688"/>
        <c:axId val="433433080"/>
      </c:scatterChart>
      <c:valAx>
        <c:axId val="4334326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ID" sz="11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Waktu (menit ke-)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3433080"/>
        <c:crosses val="autoZero"/>
        <c:crossBetween val="midCat"/>
        <c:majorUnit val="5"/>
      </c:valAx>
      <c:valAx>
        <c:axId val="433433080"/>
        <c:scaling>
          <c:orientation val="minMax"/>
          <c:max val="8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ID" sz="11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Muka Air Tanah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343268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49728433945756778"/>
          <c:y val="0.65595982793817442"/>
          <c:w val="0.46186592300962381"/>
          <c:h val="0.146413677456984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173840769903762"/>
          <c:y val="5.0925925925925923E-2"/>
          <c:w val="0.85615048118985126"/>
          <c:h val="0.76522346165062716"/>
        </c:manualLayout>
      </c:layout>
      <c:scatterChart>
        <c:scatterStyle val="lineMarker"/>
        <c:varyColors val="0"/>
        <c:ser>
          <c:idx val="0"/>
          <c:order val="0"/>
          <c:tx>
            <c:v>Plot 6-1</c:v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9050">
                <a:solidFill>
                  <a:schemeClr val="accent1"/>
                </a:solidFill>
              </a:ln>
              <a:effectLst/>
            </c:spPr>
          </c:marker>
          <c:xVal>
            <c:numRef>
              <c:f>'TT2'!$B$4:$B$38</c:f>
              <c:numCache>
                <c:formatCode>General</c:formatCode>
                <c:ptCount val="3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33</c:v>
                </c:pt>
                <c:pt idx="31">
                  <c:v>36</c:v>
                </c:pt>
                <c:pt idx="32">
                  <c:v>39</c:v>
                </c:pt>
                <c:pt idx="33">
                  <c:v>42</c:v>
                </c:pt>
                <c:pt idx="34">
                  <c:v>45</c:v>
                </c:pt>
              </c:numCache>
            </c:numRef>
          </c:xVal>
          <c:yVal>
            <c:numRef>
              <c:f>'TT2'!$C$4:$C$38</c:f>
              <c:numCache>
                <c:formatCode>General</c:formatCode>
                <c:ptCount val="35"/>
                <c:pt idx="0">
                  <c:v>63</c:v>
                </c:pt>
                <c:pt idx="1">
                  <c:v>63</c:v>
                </c:pt>
                <c:pt idx="2">
                  <c:v>62.6</c:v>
                </c:pt>
                <c:pt idx="3">
                  <c:v>62.2</c:v>
                </c:pt>
                <c:pt idx="4">
                  <c:v>62</c:v>
                </c:pt>
                <c:pt idx="5">
                  <c:v>61.5</c:v>
                </c:pt>
                <c:pt idx="6">
                  <c:v>61.3</c:v>
                </c:pt>
                <c:pt idx="7">
                  <c:v>61</c:v>
                </c:pt>
                <c:pt idx="8">
                  <c:v>60.8</c:v>
                </c:pt>
                <c:pt idx="9">
                  <c:v>60.7</c:v>
                </c:pt>
                <c:pt idx="10">
                  <c:v>60.5</c:v>
                </c:pt>
                <c:pt idx="11">
                  <c:v>60.5</c:v>
                </c:pt>
                <c:pt idx="12">
                  <c:v>60.4</c:v>
                </c:pt>
                <c:pt idx="13">
                  <c:v>60.3</c:v>
                </c:pt>
                <c:pt idx="14">
                  <c:v>60.2</c:v>
                </c:pt>
                <c:pt idx="15">
                  <c:v>59.5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58.9</c:v>
                </c:pt>
                <c:pt idx="20">
                  <c:v>58.8</c:v>
                </c:pt>
                <c:pt idx="21">
                  <c:v>58.7</c:v>
                </c:pt>
                <c:pt idx="22">
                  <c:v>58.6</c:v>
                </c:pt>
                <c:pt idx="23">
                  <c:v>58.6</c:v>
                </c:pt>
                <c:pt idx="24">
                  <c:v>58.5</c:v>
                </c:pt>
                <c:pt idx="25">
                  <c:v>58.5</c:v>
                </c:pt>
                <c:pt idx="26">
                  <c:v>58.5</c:v>
                </c:pt>
                <c:pt idx="27">
                  <c:v>58.5</c:v>
                </c:pt>
                <c:pt idx="28">
                  <c:v>58.5</c:v>
                </c:pt>
                <c:pt idx="29">
                  <c:v>58.5</c:v>
                </c:pt>
                <c:pt idx="30">
                  <c:v>58.5</c:v>
                </c:pt>
                <c:pt idx="31">
                  <c:v>58.5</c:v>
                </c:pt>
                <c:pt idx="32">
                  <c:v>58.4</c:v>
                </c:pt>
                <c:pt idx="33">
                  <c:v>58.4</c:v>
                </c:pt>
                <c:pt idx="34">
                  <c:v>58.4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52D-44C5-84E8-F401B4D88A68}"/>
            </c:ext>
          </c:extLst>
        </c:ser>
        <c:ser>
          <c:idx val="1"/>
          <c:order val="1"/>
          <c:tx>
            <c:v>Plot 6-2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9050">
                <a:solidFill>
                  <a:srgbClr val="C00000"/>
                </a:solidFill>
              </a:ln>
              <a:effectLst/>
            </c:spPr>
          </c:marker>
          <c:xVal>
            <c:numRef>
              <c:f>'TT2'!$F$4:$F$38</c:f>
              <c:numCache>
                <c:formatCode>General</c:formatCode>
                <c:ptCount val="3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33</c:v>
                </c:pt>
                <c:pt idx="31">
                  <c:v>36</c:v>
                </c:pt>
                <c:pt idx="32">
                  <c:v>39</c:v>
                </c:pt>
                <c:pt idx="33">
                  <c:v>42</c:v>
                </c:pt>
                <c:pt idx="34">
                  <c:v>45</c:v>
                </c:pt>
              </c:numCache>
            </c:numRef>
          </c:xVal>
          <c:yVal>
            <c:numRef>
              <c:f>'TT2'!$G$4:$G$38</c:f>
              <c:numCache>
                <c:formatCode>General</c:formatCode>
                <c:ptCount val="35"/>
                <c:pt idx="0">
                  <c:v>59.4</c:v>
                </c:pt>
                <c:pt idx="1">
                  <c:v>59.1</c:v>
                </c:pt>
                <c:pt idx="2">
                  <c:v>58.5</c:v>
                </c:pt>
                <c:pt idx="3">
                  <c:v>58.5</c:v>
                </c:pt>
                <c:pt idx="4">
                  <c:v>58.5</c:v>
                </c:pt>
                <c:pt idx="5">
                  <c:v>58.5</c:v>
                </c:pt>
                <c:pt idx="6">
                  <c:v>58.4</c:v>
                </c:pt>
                <c:pt idx="7">
                  <c:v>58.3</c:v>
                </c:pt>
                <c:pt idx="8">
                  <c:v>58.1</c:v>
                </c:pt>
                <c:pt idx="9">
                  <c:v>58</c:v>
                </c:pt>
                <c:pt idx="10">
                  <c:v>57.9</c:v>
                </c:pt>
                <c:pt idx="11">
                  <c:v>57.7</c:v>
                </c:pt>
                <c:pt idx="12">
                  <c:v>57.7</c:v>
                </c:pt>
                <c:pt idx="13">
                  <c:v>57.6</c:v>
                </c:pt>
                <c:pt idx="14">
                  <c:v>57.5</c:v>
                </c:pt>
                <c:pt idx="15">
                  <c:v>57.5</c:v>
                </c:pt>
                <c:pt idx="16">
                  <c:v>57.5</c:v>
                </c:pt>
                <c:pt idx="17">
                  <c:v>57.5</c:v>
                </c:pt>
                <c:pt idx="18">
                  <c:v>57.5</c:v>
                </c:pt>
                <c:pt idx="19">
                  <c:v>57.5</c:v>
                </c:pt>
                <c:pt idx="20">
                  <c:v>57.5</c:v>
                </c:pt>
                <c:pt idx="21">
                  <c:v>57.4</c:v>
                </c:pt>
                <c:pt idx="22">
                  <c:v>57.4</c:v>
                </c:pt>
                <c:pt idx="23">
                  <c:v>57.4</c:v>
                </c:pt>
                <c:pt idx="24">
                  <c:v>57.3</c:v>
                </c:pt>
                <c:pt idx="25">
                  <c:v>57.2</c:v>
                </c:pt>
                <c:pt idx="26">
                  <c:v>57.2</c:v>
                </c:pt>
                <c:pt idx="27">
                  <c:v>57.1</c:v>
                </c:pt>
                <c:pt idx="28">
                  <c:v>57.1</c:v>
                </c:pt>
                <c:pt idx="29">
                  <c:v>57</c:v>
                </c:pt>
                <c:pt idx="30">
                  <c:v>56.7</c:v>
                </c:pt>
                <c:pt idx="31">
                  <c:v>56.4</c:v>
                </c:pt>
                <c:pt idx="32">
                  <c:v>56.1</c:v>
                </c:pt>
                <c:pt idx="33">
                  <c:v>56</c:v>
                </c:pt>
                <c:pt idx="34">
                  <c:v>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52D-44C5-84E8-F401B4D88A68}"/>
            </c:ext>
          </c:extLst>
        </c:ser>
        <c:ser>
          <c:idx val="2"/>
          <c:order val="2"/>
          <c:tx>
            <c:v>Plot 6-3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9050">
                <a:solidFill>
                  <a:schemeClr val="accent3">
                    <a:lumMod val="50000"/>
                  </a:schemeClr>
                </a:solidFill>
              </a:ln>
              <a:effectLst/>
            </c:spPr>
          </c:marker>
          <c:xVal>
            <c:numRef>
              <c:f>'TT2'!$J$4:$J$38</c:f>
              <c:numCache>
                <c:formatCode>General</c:formatCode>
                <c:ptCount val="3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33</c:v>
                </c:pt>
                <c:pt idx="31">
                  <c:v>36</c:v>
                </c:pt>
                <c:pt idx="32">
                  <c:v>39</c:v>
                </c:pt>
                <c:pt idx="33">
                  <c:v>42</c:v>
                </c:pt>
                <c:pt idx="34">
                  <c:v>45</c:v>
                </c:pt>
              </c:numCache>
            </c:numRef>
          </c:xVal>
          <c:yVal>
            <c:numRef>
              <c:f>'TT2'!$K$4:$K$38</c:f>
              <c:numCache>
                <c:formatCode>General</c:formatCode>
                <c:ptCount val="35"/>
                <c:pt idx="0">
                  <c:v>59.6</c:v>
                </c:pt>
                <c:pt idx="1">
                  <c:v>58.6</c:v>
                </c:pt>
                <c:pt idx="2">
                  <c:v>58.6</c:v>
                </c:pt>
                <c:pt idx="3">
                  <c:v>58.3</c:v>
                </c:pt>
                <c:pt idx="4">
                  <c:v>58.1</c:v>
                </c:pt>
                <c:pt idx="5">
                  <c:v>58</c:v>
                </c:pt>
                <c:pt idx="6">
                  <c:v>57.6</c:v>
                </c:pt>
                <c:pt idx="7">
                  <c:v>57</c:v>
                </c:pt>
                <c:pt idx="8">
                  <c:v>57</c:v>
                </c:pt>
                <c:pt idx="9">
                  <c:v>56.9</c:v>
                </c:pt>
                <c:pt idx="10">
                  <c:v>56.6</c:v>
                </c:pt>
                <c:pt idx="11">
                  <c:v>56.5</c:v>
                </c:pt>
                <c:pt idx="12">
                  <c:v>56.3</c:v>
                </c:pt>
                <c:pt idx="13">
                  <c:v>56.1</c:v>
                </c:pt>
                <c:pt idx="14">
                  <c:v>56</c:v>
                </c:pt>
                <c:pt idx="15">
                  <c:v>55.9</c:v>
                </c:pt>
                <c:pt idx="16">
                  <c:v>55.8</c:v>
                </c:pt>
                <c:pt idx="17">
                  <c:v>55.7</c:v>
                </c:pt>
                <c:pt idx="18">
                  <c:v>55.6</c:v>
                </c:pt>
                <c:pt idx="19">
                  <c:v>55.6</c:v>
                </c:pt>
                <c:pt idx="20">
                  <c:v>55.4</c:v>
                </c:pt>
                <c:pt idx="21">
                  <c:v>55.3</c:v>
                </c:pt>
                <c:pt idx="22">
                  <c:v>55.1</c:v>
                </c:pt>
                <c:pt idx="23">
                  <c:v>54.9</c:v>
                </c:pt>
                <c:pt idx="24">
                  <c:v>54.8</c:v>
                </c:pt>
                <c:pt idx="25">
                  <c:v>54.7</c:v>
                </c:pt>
                <c:pt idx="26">
                  <c:v>54.5</c:v>
                </c:pt>
                <c:pt idx="27">
                  <c:v>54.2</c:v>
                </c:pt>
                <c:pt idx="28">
                  <c:v>54</c:v>
                </c:pt>
                <c:pt idx="29">
                  <c:v>53.9</c:v>
                </c:pt>
                <c:pt idx="30">
                  <c:v>53.7</c:v>
                </c:pt>
                <c:pt idx="31">
                  <c:v>53.5</c:v>
                </c:pt>
                <c:pt idx="32">
                  <c:v>53</c:v>
                </c:pt>
                <c:pt idx="33">
                  <c:v>52.9</c:v>
                </c:pt>
                <c:pt idx="34">
                  <c:v>52.7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52D-44C5-84E8-F401B4D88A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3433864"/>
        <c:axId val="433434256"/>
      </c:scatterChart>
      <c:valAx>
        <c:axId val="433433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ID" sz="11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Waktu (menit ke-)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3434256"/>
        <c:crosses val="autoZero"/>
        <c:crossBetween val="midCat"/>
        <c:majorUnit val="5"/>
      </c:valAx>
      <c:valAx>
        <c:axId val="433434256"/>
        <c:scaling>
          <c:orientation val="minMax"/>
          <c:max val="8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ID" sz="11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Muka Air Tanah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343386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49728433945756778"/>
          <c:y val="0.63744130941965582"/>
          <c:w val="0.46186592300962381"/>
          <c:h val="0.146413677456984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173840769903762"/>
          <c:y val="5.0925925925925923E-2"/>
          <c:w val="0.85615048118985126"/>
          <c:h val="0.76522346165062716"/>
        </c:manualLayout>
      </c:layout>
      <c:scatterChart>
        <c:scatterStyle val="lineMarker"/>
        <c:varyColors val="0"/>
        <c:ser>
          <c:idx val="0"/>
          <c:order val="0"/>
          <c:tx>
            <c:v>Plot 9-1</c:v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9050">
                <a:solidFill>
                  <a:schemeClr val="accent1"/>
                </a:solidFill>
              </a:ln>
              <a:effectLst/>
            </c:spPr>
          </c:marker>
          <c:xVal>
            <c:numRef>
              <c:f>'[1]Plot 9'!$B$4:$B$35</c:f>
              <c:numCache>
                <c:formatCode>General</c:formatCode>
                <c:ptCount val="3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33</c:v>
                </c:pt>
              </c:numCache>
            </c:numRef>
          </c:xVal>
          <c:yVal>
            <c:numRef>
              <c:f>'[1]Plot 9'!$C$4:$C$35</c:f>
              <c:numCache>
                <c:formatCode>General</c:formatCode>
                <c:ptCount val="32"/>
                <c:pt idx="0">
                  <c:v>43.5</c:v>
                </c:pt>
                <c:pt idx="1">
                  <c:v>43.3</c:v>
                </c:pt>
                <c:pt idx="2">
                  <c:v>42.5</c:v>
                </c:pt>
                <c:pt idx="3">
                  <c:v>41.6</c:v>
                </c:pt>
                <c:pt idx="4">
                  <c:v>40.5</c:v>
                </c:pt>
                <c:pt idx="5">
                  <c:v>39.4</c:v>
                </c:pt>
                <c:pt idx="6">
                  <c:v>38.5</c:v>
                </c:pt>
                <c:pt idx="7">
                  <c:v>38.1</c:v>
                </c:pt>
                <c:pt idx="8">
                  <c:v>37.299999999999997</c:v>
                </c:pt>
                <c:pt idx="9">
                  <c:v>36.4</c:v>
                </c:pt>
                <c:pt idx="10">
                  <c:v>35.799999999999997</c:v>
                </c:pt>
                <c:pt idx="11">
                  <c:v>35.1</c:v>
                </c:pt>
                <c:pt idx="12">
                  <c:v>34.200000000000003</c:v>
                </c:pt>
                <c:pt idx="13">
                  <c:v>34</c:v>
                </c:pt>
                <c:pt idx="14">
                  <c:v>33.299999999999997</c:v>
                </c:pt>
                <c:pt idx="15">
                  <c:v>33</c:v>
                </c:pt>
                <c:pt idx="16">
                  <c:v>32.200000000000003</c:v>
                </c:pt>
                <c:pt idx="17">
                  <c:v>31.8</c:v>
                </c:pt>
                <c:pt idx="18">
                  <c:v>31.5</c:v>
                </c:pt>
                <c:pt idx="19">
                  <c:v>31.1</c:v>
                </c:pt>
                <c:pt idx="20">
                  <c:v>30.6</c:v>
                </c:pt>
                <c:pt idx="21">
                  <c:v>30.3</c:v>
                </c:pt>
                <c:pt idx="22">
                  <c:v>30</c:v>
                </c:pt>
                <c:pt idx="23">
                  <c:v>29.7</c:v>
                </c:pt>
                <c:pt idx="24">
                  <c:v>29.4</c:v>
                </c:pt>
                <c:pt idx="25">
                  <c:v>29</c:v>
                </c:pt>
                <c:pt idx="26">
                  <c:v>28.6</c:v>
                </c:pt>
                <c:pt idx="27">
                  <c:v>28.2</c:v>
                </c:pt>
                <c:pt idx="28">
                  <c:v>27.9</c:v>
                </c:pt>
                <c:pt idx="29">
                  <c:v>27.5</c:v>
                </c:pt>
                <c:pt idx="30">
                  <c:v>27.2</c:v>
                </c:pt>
                <c:pt idx="31">
                  <c:v>26.5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777-4A37-8FE4-D5E24FF2E616}"/>
            </c:ext>
          </c:extLst>
        </c:ser>
        <c:ser>
          <c:idx val="1"/>
          <c:order val="1"/>
          <c:tx>
            <c:v>Plot 9-2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9050">
                <a:solidFill>
                  <a:srgbClr val="C00000"/>
                </a:solidFill>
              </a:ln>
              <a:effectLst/>
            </c:spPr>
          </c:marker>
          <c:xVal>
            <c:numRef>
              <c:f>'[1]Plot 9'!$F$4:$F$29</c:f>
              <c:numCache>
                <c:formatCode>General</c:formatCode>
                <c:ptCount val="2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</c:numCache>
            </c:numRef>
          </c:xVal>
          <c:yVal>
            <c:numRef>
              <c:f>'[1]Plot 9'!$G$4:$G$29</c:f>
              <c:numCache>
                <c:formatCode>General</c:formatCode>
                <c:ptCount val="26"/>
                <c:pt idx="0">
                  <c:v>37.5</c:v>
                </c:pt>
                <c:pt idx="1">
                  <c:v>37</c:v>
                </c:pt>
                <c:pt idx="2">
                  <c:v>35.799999999999997</c:v>
                </c:pt>
                <c:pt idx="3">
                  <c:v>34.9</c:v>
                </c:pt>
                <c:pt idx="4">
                  <c:v>33.799999999999997</c:v>
                </c:pt>
                <c:pt idx="5">
                  <c:v>33</c:v>
                </c:pt>
                <c:pt idx="6">
                  <c:v>32</c:v>
                </c:pt>
                <c:pt idx="7">
                  <c:v>31.2</c:v>
                </c:pt>
                <c:pt idx="8">
                  <c:v>30.3</c:v>
                </c:pt>
                <c:pt idx="9">
                  <c:v>29.8</c:v>
                </c:pt>
                <c:pt idx="10">
                  <c:v>29</c:v>
                </c:pt>
                <c:pt idx="11">
                  <c:v>28.3</c:v>
                </c:pt>
                <c:pt idx="12">
                  <c:v>27.7</c:v>
                </c:pt>
                <c:pt idx="13">
                  <c:v>27.1</c:v>
                </c:pt>
                <c:pt idx="14">
                  <c:v>26.6</c:v>
                </c:pt>
                <c:pt idx="15">
                  <c:v>26.2</c:v>
                </c:pt>
                <c:pt idx="16">
                  <c:v>25.7</c:v>
                </c:pt>
                <c:pt idx="17">
                  <c:v>24.8</c:v>
                </c:pt>
                <c:pt idx="18">
                  <c:v>24.2</c:v>
                </c:pt>
                <c:pt idx="19">
                  <c:v>23.6</c:v>
                </c:pt>
                <c:pt idx="20">
                  <c:v>23</c:v>
                </c:pt>
                <c:pt idx="21">
                  <c:v>22.8</c:v>
                </c:pt>
                <c:pt idx="22">
                  <c:v>22.4</c:v>
                </c:pt>
                <c:pt idx="23">
                  <c:v>22.2</c:v>
                </c:pt>
                <c:pt idx="24">
                  <c:v>21.7</c:v>
                </c:pt>
                <c:pt idx="25">
                  <c:v>21.4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777-4A37-8FE4-D5E24FF2E616}"/>
            </c:ext>
          </c:extLst>
        </c:ser>
        <c:ser>
          <c:idx val="2"/>
          <c:order val="2"/>
          <c:tx>
            <c:v>Plot 9-3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19050">
                <a:solidFill>
                  <a:schemeClr val="accent3">
                    <a:lumMod val="50000"/>
                  </a:schemeClr>
                </a:solidFill>
              </a:ln>
              <a:effectLst/>
            </c:spPr>
          </c:marker>
          <c:xVal>
            <c:numRef>
              <c:f>'[1]Plot 9'!$J$4:$J$18</c:f>
              <c:numCache>
                <c:formatCode>General</c:formatCode>
                <c:ptCount val="1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</c:numCache>
            </c:numRef>
          </c:xVal>
          <c:yVal>
            <c:numRef>
              <c:f>'[1]Plot 9'!$K$4:$K$18</c:f>
              <c:numCache>
                <c:formatCode>General</c:formatCode>
                <c:ptCount val="15"/>
                <c:pt idx="0">
                  <c:v>37</c:v>
                </c:pt>
                <c:pt idx="1">
                  <c:v>34.5</c:v>
                </c:pt>
                <c:pt idx="2">
                  <c:v>32.4</c:v>
                </c:pt>
                <c:pt idx="3">
                  <c:v>31.3</c:v>
                </c:pt>
                <c:pt idx="4">
                  <c:v>29.9</c:v>
                </c:pt>
                <c:pt idx="5">
                  <c:v>29.2</c:v>
                </c:pt>
                <c:pt idx="6">
                  <c:v>28.2</c:v>
                </c:pt>
                <c:pt idx="7">
                  <c:v>28</c:v>
                </c:pt>
                <c:pt idx="8">
                  <c:v>27.7</c:v>
                </c:pt>
                <c:pt idx="9">
                  <c:v>27.2</c:v>
                </c:pt>
                <c:pt idx="10">
                  <c:v>27.1</c:v>
                </c:pt>
                <c:pt idx="11">
                  <c:v>27</c:v>
                </c:pt>
                <c:pt idx="12">
                  <c:v>26.7</c:v>
                </c:pt>
                <c:pt idx="13">
                  <c:v>26.5</c:v>
                </c:pt>
                <c:pt idx="14">
                  <c:v>26.4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777-4A37-8FE4-D5E24FF2E6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3179712"/>
        <c:axId val="433179320"/>
      </c:scatterChart>
      <c:valAx>
        <c:axId val="4331797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ID" sz="11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Waktu (menit ke-)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3179320"/>
        <c:crosses val="autoZero"/>
        <c:crossBetween val="midCat"/>
        <c:majorUnit val="5"/>
      </c:valAx>
      <c:valAx>
        <c:axId val="433179320"/>
        <c:scaling>
          <c:orientation val="minMax"/>
          <c:max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ID" sz="11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Muka Air Tanah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31797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48944120220266585"/>
          <c:y val="6.3367235345581807E-2"/>
          <c:w val="0.46186592300962381"/>
          <c:h val="0.146413677456984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Box Plot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'Fisik &amp; C'!$R$4</c:f>
              <c:strCache>
                <c:ptCount val="1"/>
                <c:pt idx="0">
                  <c:v>Min</c:v>
                </c:pt>
              </c:strCache>
            </c:strRef>
          </c:tx>
          <c:spPr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4F81BD"/>
                  </a:solidFill>
                </a14:hiddenFill>
              </a:ext>
            </a:extLst>
          </c:spPr>
          <c:invertIfNegative val="0"/>
          <c:cat>
            <c:strRef>
              <c:f>'Fisik &amp; C'!$S$3</c:f>
              <c:strCache>
                <c:ptCount val="1"/>
                <c:pt idx="0">
                  <c:v>BI (g/cm3)</c:v>
                </c:pt>
              </c:strCache>
            </c:strRef>
          </c:cat>
          <c:val>
            <c:numRef>
              <c:f>'Fisik &amp; C'!$S$4</c:f>
              <c:numCache>
                <c:formatCode>General</c:formatCode>
                <c:ptCount val="1"/>
                <c:pt idx="0">
                  <c:v>8.2810060818957944E-3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D1-47E5-8927-C0C81DA928C3}"/>
            </c:ext>
          </c:extLst>
        </c:ser>
        <c:ser>
          <c:idx val="1"/>
          <c:order val="1"/>
          <c:tx>
            <c:strRef>
              <c:f>'Fisik &amp; C'!$R$5</c:f>
              <c:strCache>
                <c:ptCount val="1"/>
                <c:pt idx="0">
                  <c:v>Q1-Min</c:v>
                </c:pt>
              </c:strCache>
            </c:strRef>
          </c:tx>
          <c:spPr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C0504D"/>
                  </a:solidFill>
                </a14:hiddenFill>
              </a:ext>
            </a:extLst>
          </c:spPr>
          <c:invertIfNegative val="0"/>
          <c:errBars>
            <c:errBarType val="minus"/>
            <c:errValType val="percentage"/>
            <c:noEndCap val="0"/>
            <c:val val="100"/>
          </c:errBars>
          <c:cat>
            <c:strRef>
              <c:f>'Fisik &amp; C'!$S$3</c:f>
              <c:strCache>
                <c:ptCount val="1"/>
                <c:pt idx="0">
                  <c:v>BI (g/cm3)</c:v>
                </c:pt>
              </c:strCache>
            </c:strRef>
          </c:cat>
          <c:val>
            <c:numRef>
              <c:f>'Fisik &amp; C'!$S$5</c:f>
              <c:numCache>
                <c:formatCode>General</c:formatCode>
                <c:ptCount val="1"/>
                <c:pt idx="0">
                  <c:v>5.3488938413431407E-2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D1-47E5-8927-C0C81DA928C3}"/>
            </c:ext>
          </c:extLst>
        </c:ser>
        <c:ser>
          <c:idx val="2"/>
          <c:order val="2"/>
          <c:tx>
            <c:strRef>
              <c:f>'Fisik &amp; C'!$R$6</c:f>
              <c:strCache>
                <c:ptCount val="1"/>
                <c:pt idx="0">
                  <c:v>Med-Q1</c:v>
                </c:pt>
              </c:strCache>
            </c:strRef>
          </c:tx>
          <c:invertIfNegative val="0"/>
          <c:cat>
            <c:strRef>
              <c:f>'Fisik &amp; C'!$S$3</c:f>
              <c:strCache>
                <c:ptCount val="1"/>
                <c:pt idx="0">
                  <c:v>BI (g/cm3)</c:v>
                </c:pt>
              </c:strCache>
            </c:strRef>
          </c:cat>
          <c:val>
            <c:numRef>
              <c:f>'Fisik &amp; C'!$S$6</c:f>
              <c:numCache>
                <c:formatCode>General</c:formatCode>
                <c:ptCount val="1"/>
                <c:pt idx="0">
                  <c:v>3.4189466993260489E-2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BD1-47E5-8927-C0C81DA928C3}"/>
            </c:ext>
          </c:extLst>
        </c:ser>
        <c:ser>
          <c:idx val="3"/>
          <c:order val="3"/>
          <c:tx>
            <c:strRef>
              <c:f>'Fisik &amp; C'!$R$7</c:f>
              <c:strCache>
                <c:ptCount val="1"/>
                <c:pt idx="0">
                  <c:v>Q3-Med</c:v>
                </c:pt>
              </c:strCache>
            </c:strRef>
          </c:tx>
          <c:invertIfNegative val="0"/>
          <c:errBars>
            <c:errBarType val="plus"/>
            <c:errValType val="cust"/>
            <c:noEndCap val="0"/>
            <c:plus>
              <c:numRef>
                <c:f>'Fisik &amp; C'!$S$8</c:f>
                <c:numCache>
                  <c:formatCode>General</c:formatCode>
                  <c:ptCount val="1"/>
                  <c:pt idx="0">
                    <c:v>1.9558581504702188E-2</c:v>
                  </c:pt>
                </c:numCache>
              </c:numRef>
            </c:plus>
          </c:errBars>
          <c:cat>
            <c:strRef>
              <c:f>'Fisik &amp; C'!$S$3</c:f>
              <c:strCache>
                <c:ptCount val="1"/>
                <c:pt idx="0">
                  <c:v>BI (g/cm3)</c:v>
                </c:pt>
              </c:strCache>
            </c:strRef>
          </c:cat>
          <c:val>
            <c:numRef>
              <c:f>'Fisik &amp; C'!$S$7</c:f>
              <c:numCache>
                <c:formatCode>General</c:formatCode>
                <c:ptCount val="1"/>
                <c:pt idx="0">
                  <c:v>2.6898673673376783E-2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BD1-47E5-8927-C0C81DA928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59530687"/>
        <c:axId val="1959532351"/>
      </c:barChart>
      <c:scatterChart>
        <c:scatterStyle val="lineMarker"/>
        <c:varyColors val="0"/>
        <c:ser>
          <c:idx val="4"/>
          <c:order val="4"/>
          <c:tx>
            <c:v>m</c:v>
          </c:tx>
          <c:spPr>
            <a:ln w="28575">
              <a:noFill/>
            </a:ln>
          </c:spPr>
          <c:marker>
            <c:symbol val="x"/>
            <c:size val="5"/>
            <c:spPr>
              <a:ln>
                <a:solidFill>
                  <a:srgbClr val="000000"/>
                </a:solidFill>
                <a:prstDash val="solid"/>
              </a:ln>
            </c:spPr>
          </c:marker>
          <c:yVal>
            <c:numRef>
              <c:f>'Fisik &amp; C'!$S$9</c:f>
              <c:numCache>
                <c:formatCode>0.00</c:formatCode>
                <c:ptCount val="1"/>
                <c:pt idx="0">
                  <c:v>8.6118996431948328E-2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1BD1-47E5-8927-C0C81DA928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59530687"/>
        <c:axId val="1959532351"/>
      </c:scatterChart>
      <c:catAx>
        <c:axId val="195953068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59532351"/>
        <c:crosses val="autoZero"/>
        <c:auto val="1"/>
        <c:lblAlgn val="ctr"/>
        <c:lblOffset val="100"/>
        <c:noMultiLvlLbl val="0"/>
      </c:catAx>
      <c:valAx>
        <c:axId val="1959532351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959530687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54</xdr:row>
      <xdr:rowOff>0</xdr:rowOff>
    </xdr:from>
    <xdr:to>
      <xdr:col>1</xdr:col>
      <xdr:colOff>742950</xdr:colOff>
      <xdr:row>71</xdr:row>
      <xdr:rowOff>55358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420B29-0DB5-4CA8-B081-F231342CA1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651" t="21357" r="43697" b="12619"/>
        <a:stretch/>
      </xdr:blipFill>
      <xdr:spPr>
        <a:xfrm>
          <a:off x="152400" y="10287000"/>
          <a:ext cx="2952750" cy="3293858"/>
        </a:xfrm>
        <a:prstGeom prst="rect">
          <a:avLst/>
        </a:prstGeom>
      </xdr:spPr>
    </xdr:pic>
    <xdr:clientData/>
  </xdr:twoCellAnchor>
  <xdr:twoCellAnchor>
    <xdr:from>
      <xdr:col>3</xdr:col>
      <xdr:colOff>600075</xdr:colOff>
      <xdr:row>47</xdr:row>
      <xdr:rowOff>71437</xdr:rowOff>
    </xdr:from>
    <xdr:to>
      <xdr:col>7</xdr:col>
      <xdr:colOff>95250</xdr:colOff>
      <xdr:row>61</xdr:row>
      <xdr:rowOff>147637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1CD2957-BC05-4EA1-ABA5-980A89387AC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46</xdr:row>
      <xdr:rowOff>0</xdr:rowOff>
    </xdr:from>
    <xdr:to>
      <xdr:col>4</xdr:col>
      <xdr:colOff>1924050</xdr:colOff>
      <xdr:row>60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9873FCE-54D2-4DCD-AD33-0B45A341DC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46</xdr:row>
      <xdr:rowOff>95250</xdr:rowOff>
    </xdr:from>
    <xdr:to>
      <xdr:col>6</xdr:col>
      <xdr:colOff>1133475</xdr:colOff>
      <xdr:row>60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FD55CE0-EDDA-4063-B8AD-76874D0BDE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66675</xdr:colOff>
      <xdr:row>51</xdr:row>
      <xdr:rowOff>123825</xdr:rowOff>
    </xdr:from>
    <xdr:to>
      <xdr:col>1</xdr:col>
      <xdr:colOff>590550</xdr:colOff>
      <xdr:row>68</xdr:row>
      <xdr:rowOff>179183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9AEA50F-12FB-4E8D-96C5-41912250D9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6651" t="21357" r="43697" b="12619"/>
        <a:stretch/>
      </xdr:blipFill>
      <xdr:spPr>
        <a:xfrm>
          <a:off x="66675" y="9839325"/>
          <a:ext cx="2952750" cy="32938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45</xdr:row>
      <xdr:rowOff>0</xdr:rowOff>
    </xdr:from>
    <xdr:to>
      <xdr:col>4</xdr:col>
      <xdr:colOff>1924050</xdr:colOff>
      <xdr:row>59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F07480A-74AD-4D79-AA67-453A850D98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45</xdr:row>
      <xdr:rowOff>0</xdr:rowOff>
    </xdr:from>
    <xdr:to>
      <xdr:col>4</xdr:col>
      <xdr:colOff>1924050</xdr:colOff>
      <xdr:row>59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B1B7C9C-17A5-4B5F-A415-40432C2DA1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46</xdr:row>
      <xdr:rowOff>0</xdr:rowOff>
    </xdr:from>
    <xdr:to>
      <xdr:col>4</xdr:col>
      <xdr:colOff>1924050</xdr:colOff>
      <xdr:row>60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9873FCE-54D2-4DCD-AD33-0B45A341DC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27</xdr:row>
      <xdr:rowOff>123824</xdr:rowOff>
    </xdr:from>
    <xdr:to>
      <xdr:col>4</xdr:col>
      <xdr:colOff>238125</xdr:colOff>
      <xdr:row>37</xdr:row>
      <xdr:rowOff>19049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AD96D8D-A86D-4A03-956E-AD293964B8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3033" t="28910" r="69469" b="43873"/>
        <a:stretch/>
      </xdr:blipFill>
      <xdr:spPr>
        <a:xfrm>
          <a:off x="38100" y="3219449"/>
          <a:ext cx="2581275" cy="1800225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32</xdr:row>
      <xdr:rowOff>19049</xdr:rowOff>
    </xdr:from>
    <xdr:to>
      <xdr:col>3</xdr:col>
      <xdr:colOff>838200</xdr:colOff>
      <xdr:row>34</xdr:row>
      <xdr:rowOff>171450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C001E83-4587-4685-848B-87A6B2D45F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6107" t="45188" r="74668" b="48301"/>
        <a:stretch/>
      </xdr:blipFill>
      <xdr:spPr>
        <a:xfrm>
          <a:off x="1066800" y="4162424"/>
          <a:ext cx="1200150" cy="533401"/>
        </a:xfrm>
        <a:prstGeom prst="rect">
          <a:avLst/>
        </a:prstGeom>
      </xdr:spPr>
    </xdr:pic>
    <xdr:clientData/>
  </xdr:twoCellAnchor>
  <xdr:twoCellAnchor editAs="oneCell">
    <xdr:from>
      <xdr:col>6</xdr:col>
      <xdr:colOff>514350</xdr:colOff>
      <xdr:row>27</xdr:row>
      <xdr:rowOff>76200</xdr:rowOff>
    </xdr:from>
    <xdr:to>
      <xdr:col>10</xdr:col>
      <xdr:colOff>171450</xdr:colOff>
      <xdr:row>44</xdr:row>
      <xdr:rowOff>131558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77946CE-6DE3-4169-8594-E00CF833DB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6651" t="21357" r="43697" b="12619"/>
        <a:stretch/>
      </xdr:blipFill>
      <xdr:spPr>
        <a:xfrm>
          <a:off x="3810000" y="3133725"/>
          <a:ext cx="2952750" cy="329385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281940</xdr:colOff>
      <xdr:row>19</xdr:row>
      <xdr:rowOff>125730</xdr:rowOff>
    </xdr:from>
    <xdr:to>
      <xdr:col>24</xdr:col>
      <xdr:colOff>586740</xdr:colOff>
      <xdr:row>34</xdr:row>
      <xdr:rowOff>125730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0/Sinar%20Mas/Dampak%20Pembasahan/Konduktivitas%20Hidraulik-E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AppData\Roaming\Microsoft\AddIns\XRealStats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ot 1"/>
      <sheetName val="Plot 2"/>
      <sheetName val="Plot 3"/>
      <sheetName val="Plot 4"/>
      <sheetName val="Plot 5"/>
      <sheetName val="Plot 6"/>
      <sheetName val="Plot 7"/>
      <sheetName val="Plot 8"/>
      <sheetName val="Plot 9"/>
      <sheetName val="Plot 10"/>
      <sheetName val="KH"/>
      <sheetName val="Slug test"/>
      <sheetName val="Resume KH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B4">
            <v>0</v>
          </cell>
          <cell r="C4">
            <v>43.5</v>
          </cell>
          <cell r="F4">
            <v>0</v>
          </cell>
          <cell r="G4">
            <v>37.5</v>
          </cell>
          <cell r="J4">
            <v>0</v>
          </cell>
          <cell r="K4">
            <v>37</v>
          </cell>
        </row>
        <row r="5">
          <cell r="B5">
            <v>1</v>
          </cell>
          <cell r="C5">
            <v>43.3</v>
          </cell>
          <cell r="F5">
            <v>1</v>
          </cell>
          <cell r="G5">
            <v>37</v>
          </cell>
          <cell r="J5">
            <v>1</v>
          </cell>
          <cell r="K5">
            <v>34.5</v>
          </cell>
        </row>
        <row r="6">
          <cell r="B6">
            <v>2</v>
          </cell>
          <cell r="C6">
            <v>42.5</v>
          </cell>
          <cell r="F6">
            <v>2</v>
          </cell>
          <cell r="G6">
            <v>35.799999999999997</v>
          </cell>
          <cell r="J6">
            <v>2</v>
          </cell>
          <cell r="K6">
            <v>32.4</v>
          </cell>
        </row>
        <row r="7">
          <cell r="B7">
            <v>3</v>
          </cell>
          <cell r="C7">
            <v>41.6</v>
          </cell>
          <cell r="F7">
            <v>3</v>
          </cell>
          <cell r="G7">
            <v>34.9</v>
          </cell>
          <cell r="J7">
            <v>3</v>
          </cell>
          <cell r="K7">
            <v>31.3</v>
          </cell>
        </row>
        <row r="8">
          <cell r="B8">
            <v>4</v>
          </cell>
          <cell r="C8">
            <v>40.5</v>
          </cell>
          <cell r="F8">
            <v>4</v>
          </cell>
          <cell r="G8">
            <v>33.799999999999997</v>
          </cell>
          <cell r="J8">
            <v>4</v>
          </cell>
          <cell r="K8">
            <v>29.9</v>
          </cell>
        </row>
        <row r="9">
          <cell r="B9">
            <v>5</v>
          </cell>
          <cell r="C9">
            <v>39.4</v>
          </cell>
          <cell r="F9">
            <v>5</v>
          </cell>
          <cell r="G9">
            <v>33</v>
          </cell>
          <cell r="J9">
            <v>5</v>
          </cell>
          <cell r="K9">
            <v>29.2</v>
          </cell>
        </row>
        <row r="10">
          <cell r="B10">
            <v>6</v>
          </cell>
          <cell r="C10">
            <v>38.5</v>
          </cell>
          <cell r="F10">
            <v>6</v>
          </cell>
          <cell r="G10">
            <v>32</v>
          </cell>
          <cell r="J10">
            <v>6</v>
          </cell>
          <cell r="K10">
            <v>28.2</v>
          </cell>
        </row>
        <row r="11">
          <cell r="B11">
            <v>7</v>
          </cell>
          <cell r="C11">
            <v>38.1</v>
          </cell>
          <cell r="F11">
            <v>7</v>
          </cell>
          <cell r="G11">
            <v>31.2</v>
          </cell>
          <cell r="J11">
            <v>7</v>
          </cell>
          <cell r="K11">
            <v>28</v>
          </cell>
        </row>
        <row r="12">
          <cell r="B12">
            <v>8</v>
          </cell>
          <cell r="C12">
            <v>37.299999999999997</v>
          </cell>
          <cell r="F12">
            <v>8</v>
          </cell>
          <cell r="G12">
            <v>30.3</v>
          </cell>
          <cell r="J12">
            <v>8</v>
          </cell>
          <cell r="K12">
            <v>27.7</v>
          </cell>
        </row>
        <row r="13">
          <cell r="B13">
            <v>9</v>
          </cell>
          <cell r="C13">
            <v>36.4</v>
          </cell>
          <cell r="F13">
            <v>9</v>
          </cell>
          <cell r="G13">
            <v>29.8</v>
          </cell>
          <cell r="J13">
            <v>9</v>
          </cell>
          <cell r="K13">
            <v>27.2</v>
          </cell>
        </row>
        <row r="14">
          <cell r="B14">
            <v>10</v>
          </cell>
          <cell r="C14">
            <v>35.799999999999997</v>
          </cell>
          <cell r="F14">
            <v>10</v>
          </cell>
          <cell r="G14">
            <v>29</v>
          </cell>
          <cell r="J14">
            <v>10</v>
          </cell>
          <cell r="K14">
            <v>27.1</v>
          </cell>
        </row>
        <row r="15">
          <cell r="B15">
            <v>11</v>
          </cell>
          <cell r="C15">
            <v>35.1</v>
          </cell>
          <cell r="F15">
            <v>11</v>
          </cell>
          <cell r="G15">
            <v>28.3</v>
          </cell>
          <cell r="J15">
            <v>11</v>
          </cell>
          <cell r="K15">
            <v>27</v>
          </cell>
        </row>
        <row r="16">
          <cell r="B16">
            <v>12</v>
          </cell>
          <cell r="C16">
            <v>34.200000000000003</v>
          </cell>
          <cell r="F16">
            <v>12</v>
          </cell>
          <cell r="G16">
            <v>27.7</v>
          </cell>
          <cell r="J16">
            <v>12</v>
          </cell>
          <cell r="K16">
            <v>26.7</v>
          </cell>
        </row>
        <row r="17">
          <cell r="B17">
            <v>13</v>
          </cell>
          <cell r="C17">
            <v>34</v>
          </cell>
          <cell r="F17">
            <v>13</v>
          </cell>
          <cell r="G17">
            <v>27.1</v>
          </cell>
          <cell r="J17">
            <v>13</v>
          </cell>
          <cell r="K17">
            <v>26.5</v>
          </cell>
        </row>
        <row r="18">
          <cell r="B18">
            <v>14</v>
          </cell>
          <cell r="C18">
            <v>33.299999999999997</v>
          </cell>
          <cell r="F18">
            <v>14</v>
          </cell>
          <cell r="G18">
            <v>26.6</v>
          </cell>
          <cell r="J18">
            <v>14</v>
          </cell>
          <cell r="K18">
            <v>26.4</v>
          </cell>
        </row>
        <row r="19">
          <cell r="B19">
            <v>15</v>
          </cell>
          <cell r="C19">
            <v>33</v>
          </cell>
          <cell r="F19">
            <v>15</v>
          </cell>
          <cell r="G19">
            <v>26.2</v>
          </cell>
        </row>
        <row r="20">
          <cell r="B20">
            <v>16</v>
          </cell>
          <cell r="C20">
            <v>32.200000000000003</v>
          </cell>
          <cell r="F20">
            <v>16</v>
          </cell>
          <cell r="G20">
            <v>25.7</v>
          </cell>
        </row>
        <row r="21">
          <cell r="B21">
            <v>17</v>
          </cell>
          <cell r="C21">
            <v>31.8</v>
          </cell>
          <cell r="F21">
            <v>17</v>
          </cell>
          <cell r="G21">
            <v>24.8</v>
          </cell>
        </row>
        <row r="22">
          <cell r="B22">
            <v>18</v>
          </cell>
          <cell r="C22">
            <v>31.5</v>
          </cell>
          <cell r="F22">
            <v>18</v>
          </cell>
          <cell r="G22">
            <v>24.2</v>
          </cell>
        </row>
        <row r="23">
          <cell r="B23">
            <v>19</v>
          </cell>
          <cell r="C23">
            <v>31.1</v>
          </cell>
          <cell r="F23">
            <v>19</v>
          </cell>
          <cell r="G23">
            <v>23.6</v>
          </cell>
        </row>
        <row r="24">
          <cell r="B24">
            <v>20</v>
          </cell>
          <cell r="C24">
            <v>30.6</v>
          </cell>
          <cell r="F24">
            <v>20</v>
          </cell>
          <cell r="G24">
            <v>23</v>
          </cell>
        </row>
        <row r="25">
          <cell r="B25">
            <v>21</v>
          </cell>
          <cell r="C25">
            <v>30.3</v>
          </cell>
          <cell r="F25">
            <v>21</v>
          </cell>
          <cell r="G25">
            <v>22.8</v>
          </cell>
        </row>
        <row r="26">
          <cell r="B26">
            <v>22</v>
          </cell>
          <cell r="C26">
            <v>30</v>
          </cell>
          <cell r="F26">
            <v>22</v>
          </cell>
          <cell r="G26">
            <v>22.4</v>
          </cell>
        </row>
        <row r="27">
          <cell r="B27">
            <v>23</v>
          </cell>
          <cell r="C27">
            <v>29.7</v>
          </cell>
          <cell r="F27">
            <v>23</v>
          </cell>
          <cell r="G27">
            <v>22.2</v>
          </cell>
        </row>
        <row r="28">
          <cell r="B28">
            <v>24</v>
          </cell>
          <cell r="C28">
            <v>29.4</v>
          </cell>
          <cell r="F28">
            <v>24</v>
          </cell>
          <cell r="G28">
            <v>21.7</v>
          </cell>
        </row>
        <row r="29">
          <cell r="B29">
            <v>25</v>
          </cell>
          <cell r="C29">
            <v>29</v>
          </cell>
          <cell r="F29">
            <v>25</v>
          </cell>
          <cell r="G29">
            <v>21.4</v>
          </cell>
        </row>
        <row r="30">
          <cell r="B30">
            <v>26</v>
          </cell>
          <cell r="C30">
            <v>28.6</v>
          </cell>
        </row>
        <row r="31">
          <cell r="B31">
            <v>27</v>
          </cell>
          <cell r="C31">
            <v>28.2</v>
          </cell>
        </row>
        <row r="32">
          <cell r="B32">
            <v>28</v>
          </cell>
          <cell r="C32">
            <v>27.9</v>
          </cell>
        </row>
        <row r="33">
          <cell r="B33">
            <v>29</v>
          </cell>
          <cell r="C33">
            <v>27.5</v>
          </cell>
        </row>
        <row r="34">
          <cell r="B34">
            <v>30</v>
          </cell>
          <cell r="C34">
            <v>27.2</v>
          </cell>
        </row>
        <row r="35">
          <cell r="B35">
            <v>33</v>
          </cell>
          <cell r="C35">
            <v>26.5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fig"/>
      <sheetName val="Wilcoxon Table"/>
      <sheetName val="Mann Table"/>
      <sheetName val="Runs Table"/>
      <sheetName val="KS Table"/>
      <sheetName val="KS2 Table"/>
      <sheetName val="Lil Table"/>
      <sheetName val="AD Table"/>
      <sheetName val="AD2 Table"/>
      <sheetName val="SW Table"/>
      <sheetName val="Stud. Q Table"/>
      <sheetName val="Stud. Q Table 2"/>
      <sheetName val="Sp Rho Table"/>
      <sheetName val="Ken Tau Table"/>
      <sheetName val="Durbin Table"/>
      <sheetName val="Dunnett Table"/>
      <sheetName val="Dunnett 1"/>
      <sheetName val="Prime"/>
      <sheetName val="MSSD"/>
    </sheetNames>
    <definedNames>
      <definedName name="DAGOSTINO"/>
      <definedName name="DPTEST"/>
      <definedName name="IQR"/>
      <definedName name="MAD"/>
      <definedName name="SHAPIRO"/>
      <definedName name="SWTEST"/>
      <definedName name="T_DIST_2T"/>
      <definedName name="T_DIST_RT"/>
      <definedName name="T_INV"/>
      <definedName name="T_INV_2T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C2" sqref="C2"/>
    </sheetView>
  </sheetViews>
  <sheetFormatPr defaultRowHeight="14.4" x14ac:dyDescent="0.3"/>
  <cols>
    <col min="1" max="1" width="35.44140625" bestFit="1" customWidth="1"/>
    <col min="2" max="2" width="15.5546875" bestFit="1" customWidth="1"/>
    <col min="3" max="3" width="19.33203125" bestFit="1" customWidth="1"/>
    <col min="5" max="5" width="36.44140625" bestFit="1" customWidth="1"/>
    <col min="6" max="6" width="15.5546875" bestFit="1" customWidth="1"/>
    <col min="7" max="7" width="19.33203125" bestFit="1" customWidth="1"/>
    <col min="9" max="9" width="35.44140625" bestFit="1" customWidth="1"/>
    <col min="10" max="10" width="15.5546875" bestFit="1" customWidth="1"/>
    <col min="11" max="11" width="19.33203125" bestFit="1" customWidth="1"/>
  </cols>
  <sheetData>
    <row r="1" spans="1:11" x14ac:dyDescent="0.3">
      <c r="A1" s="1" t="s">
        <v>0</v>
      </c>
      <c r="B1" s="1" t="s">
        <v>7</v>
      </c>
      <c r="C1" s="1" t="s">
        <v>8</v>
      </c>
      <c r="E1" s="1" t="s">
        <v>0</v>
      </c>
      <c r="F1" s="1" t="s">
        <v>7</v>
      </c>
      <c r="G1" s="1" t="s">
        <v>8</v>
      </c>
      <c r="I1" s="1" t="s">
        <v>0</v>
      </c>
      <c r="J1" s="1" t="s">
        <v>7</v>
      </c>
      <c r="K1" s="1" t="s">
        <v>8</v>
      </c>
    </row>
    <row r="2" spans="1:11" x14ac:dyDescent="0.3">
      <c r="A2" s="1" t="s">
        <v>5</v>
      </c>
      <c r="B2" s="1" t="s">
        <v>9</v>
      </c>
      <c r="C2" s="1">
        <v>39</v>
      </c>
      <c r="E2" s="1" t="s">
        <v>5</v>
      </c>
      <c r="F2" s="1" t="s">
        <v>9</v>
      </c>
      <c r="G2" s="1">
        <v>31.5</v>
      </c>
      <c r="I2" s="1" t="s">
        <v>5</v>
      </c>
      <c r="J2" s="1" t="s">
        <v>9</v>
      </c>
      <c r="K2" s="1">
        <v>33.5</v>
      </c>
    </row>
    <row r="3" spans="1:11" x14ac:dyDescent="0.3">
      <c r="A3" s="1" t="s">
        <v>6</v>
      </c>
      <c r="B3" s="1" t="s">
        <v>10</v>
      </c>
      <c r="C3" s="1">
        <v>65</v>
      </c>
      <c r="E3" s="1" t="s">
        <v>6</v>
      </c>
      <c r="F3" s="1" t="s">
        <v>10</v>
      </c>
      <c r="G3" s="1">
        <v>62</v>
      </c>
      <c r="I3" s="1" t="s">
        <v>6</v>
      </c>
      <c r="J3" s="1" t="s">
        <v>10</v>
      </c>
      <c r="K3" s="1">
        <v>50.5</v>
      </c>
    </row>
    <row r="4" spans="1:11" x14ac:dyDescent="0.3">
      <c r="A4" s="1"/>
      <c r="B4" s="1">
        <v>0</v>
      </c>
      <c r="C4" s="1">
        <v>65</v>
      </c>
      <c r="E4" s="1"/>
      <c r="F4" s="1">
        <v>0</v>
      </c>
      <c r="G4" s="1">
        <v>62</v>
      </c>
      <c r="I4" s="1"/>
      <c r="J4" s="1">
        <v>0</v>
      </c>
      <c r="K4" s="1">
        <v>50.5</v>
      </c>
    </row>
    <row r="5" spans="1:11" x14ac:dyDescent="0.3">
      <c r="A5" s="1" t="s">
        <v>4</v>
      </c>
      <c r="B5" s="1">
        <v>1</v>
      </c>
      <c r="C5" s="1">
        <v>65</v>
      </c>
      <c r="E5" s="1" t="s">
        <v>4</v>
      </c>
      <c r="F5" s="1">
        <v>1</v>
      </c>
      <c r="G5" s="1">
        <v>60</v>
      </c>
      <c r="I5" s="1" t="s">
        <v>4</v>
      </c>
      <c r="J5" s="1">
        <v>1</v>
      </c>
      <c r="K5" s="1">
        <v>50</v>
      </c>
    </row>
    <row r="6" spans="1:11" x14ac:dyDescent="0.3">
      <c r="A6" s="1" t="s">
        <v>3</v>
      </c>
      <c r="B6" s="1">
        <v>2</v>
      </c>
      <c r="C6" s="1">
        <v>63.5</v>
      </c>
      <c r="E6" s="1" t="s">
        <v>11</v>
      </c>
      <c r="F6" s="1">
        <v>2</v>
      </c>
      <c r="G6" s="1">
        <v>59.5</v>
      </c>
      <c r="I6" s="1" t="s">
        <v>12</v>
      </c>
      <c r="J6" s="1">
        <v>2</v>
      </c>
      <c r="K6" s="1">
        <v>44</v>
      </c>
    </row>
    <row r="7" spans="1:11" x14ac:dyDescent="0.3">
      <c r="A7" s="1" t="s">
        <v>19</v>
      </c>
      <c r="B7" s="1">
        <v>3</v>
      </c>
      <c r="C7" s="1">
        <v>62</v>
      </c>
      <c r="E7" s="1" t="s">
        <v>15</v>
      </c>
      <c r="F7" s="1">
        <v>3</v>
      </c>
      <c r="G7" s="1">
        <v>59</v>
      </c>
      <c r="I7" s="1" t="s">
        <v>1</v>
      </c>
      <c r="J7" s="1">
        <v>3</v>
      </c>
      <c r="K7" s="1">
        <v>40</v>
      </c>
    </row>
    <row r="8" spans="1:11" x14ac:dyDescent="0.3">
      <c r="A8" s="1" t="s">
        <v>13</v>
      </c>
      <c r="B8" s="1">
        <v>4</v>
      </c>
      <c r="C8" s="1">
        <v>60.5</v>
      </c>
      <c r="E8" s="1" t="s">
        <v>14</v>
      </c>
      <c r="F8" s="1">
        <v>4</v>
      </c>
      <c r="G8" s="1">
        <v>59</v>
      </c>
      <c r="I8" s="1" t="s">
        <v>2</v>
      </c>
      <c r="J8" s="1">
        <v>4</v>
      </c>
      <c r="K8" s="1">
        <v>38</v>
      </c>
    </row>
    <row r="9" spans="1:11" x14ac:dyDescent="0.3">
      <c r="B9" s="1">
        <v>5</v>
      </c>
      <c r="C9" s="1">
        <v>59.5</v>
      </c>
      <c r="F9" s="1">
        <v>5</v>
      </c>
      <c r="G9" s="1">
        <v>58.5</v>
      </c>
      <c r="J9" s="1">
        <v>5</v>
      </c>
      <c r="K9" s="1">
        <v>36</v>
      </c>
    </row>
    <row r="10" spans="1:11" x14ac:dyDescent="0.3">
      <c r="B10" s="1">
        <v>6</v>
      </c>
      <c r="C10" s="1">
        <v>58</v>
      </c>
      <c r="F10" s="1">
        <v>6</v>
      </c>
      <c r="G10" s="1">
        <v>58</v>
      </c>
      <c r="J10" s="1">
        <v>6</v>
      </c>
      <c r="K10" s="1">
        <v>35</v>
      </c>
    </row>
    <row r="11" spans="1:11" x14ac:dyDescent="0.3">
      <c r="B11" s="1">
        <v>7</v>
      </c>
      <c r="C11" s="1">
        <v>56.5</v>
      </c>
      <c r="F11" s="1">
        <v>7</v>
      </c>
      <c r="G11" s="1">
        <v>57.5</v>
      </c>
      <c r="J11" s="1">
        <v>7</v>
      </c>
      <c r="K11" s="1">
        <v>35</v>
      </c>
    </row>
    <row r="12" spans="1:11" x14ac:dyDescent="0.3">
      <c r="B12" s="1">
        <v>8</v>
      </c>
      <c r="C12" s="1">
        <v>56</v>
      </c>
      <c r="F12" s="1">
        <v>8</v>
      </c>
      <c r="G12" s="1">
        <v>57</v>
      </c>
      <c r="J12" s="1">
        <v>8</v>
      </c>
      <c r="K12" s="1">
        <v>34</v>
      </c>
    </row>
    <row r="13" spans="1:11" x14ac:dyDescent="0.3">
      <c r="B13" s="1">
        <v>9</v>
      </c>
      <c r="C13" s="1">
        <v>55</v>
      </c>
      <c r="F13" s="1">
        <v>9</v>
      </c>
      <c r="G13" s="1">
        <v>57</v>
      </c>
      <c r="J13" s="1">
        <v>9</v>
      </c>
      <c r="K13" s="1">
        <v>34</v>
      </c>
    </row>
    <row r="14" spans="1:11" x14ac:dyDescent="0.3">
      <c r="B14" s="1">
        <v>10</v>
      </c>
      <c r="C14" s="1">
        <v>54</v>
      </c>
      <c r="F14" s="1">
        <v>10</v>
      </c>
      <c r="G14" s="1">
        <v>56.5</v>
      </c>
      <c r="J14" s="1">
        <v>10</v>
      </c>
      <c r="K14" s="1">
        <v>34</v>
      </c>
    </row>
    <row r="15" spans="1:11" x14ac:dyDescent="0.3">
      <c r="B15" s="1">
        <v>11</v>
      </c>
      <c r="C15" s="1">
        <v>53.5</v>
      </c>
      <c r="F15" s="1">
        <v>11</v>
      </c>
      <c r="G15" s="1">
        <v>56</v>
      </c>
      <c r="J15" s="1">
        <v>11</v>
      </c>
      <c r="K15" s="1">
        <v>34</v>
      </c>
    </row>
    <row r="16" spans="1:11" x14ac:dyDescent="0.3">
      <c r="B16" s="1">
        <v>12</v>
      </c>
      <c r="C16" s="1">
        <v>52.5</v>
      </c>
      <c r="F16" s="1">
        <v>12</v>
      </c>
      <c r="G16" s="1">
        <v>55.5</v>
      </c>
      <c r="J16" s="1">
        <v>12</v>
      </c>
      <c r="K16" s="1">
        <v>34</v>
      </c>
    </row>
    <row r="17" spans="2:11" x14ac:dyDescent="0.3">
      <c r="B17" s="1">
        <v>13</v>
      </c>
      <c r="C17" s="1">
        <v>52</v>
      </c>
      <c r="F17" s="1">
        <v>13</v>
      </c>
      <c r="G17" s="1">
        <v>55</v>
      </c>
      <c r="J17" s="1">
        <v>13</v>
      </c>
      <c r="K17" s="1">
        <v>33.5</v>
      </c>
    </row>
    <row r="18" spans="2:11" x14ac:dyDescent="0.3">
      <c r="B18" s="1">
        <v>14</v>
      </c>
      <c r="C18" s="1">
        <v>51</v>
      </c>
      <c r="F18" s="1">
        <v>14</v>
      </c>
      <c r="G18" s="1">
        <v>54.5</v>
      </c>
      <c r="J18" s="1">
        <v>14</v>
      </c>
      <c r="K18" s="1"/>
    </row>
    <row r="19" spans="2:11" x14ac:dyDescent="0.3">
      <c r="B19" s="1">
        <v>15</v>
      </c>
      <c r="C19" s="1">
        <v>50</v>
      </c>
      <c r="F19" s="1">
        <v>15</v>
      </c>
      <c r="G19" s="1">
        <v>54</v>
      </c>
      <c r="J19" s="1">
        <v>15</v>
      </c>
      <c r="K19" s="1"/>
    </row>
    <row r="20" spans="2:11" x14ac:dyDescent="0.3">
      <c r="B20" s="1">
        <v>16</v>
      </c>
      <c r="C20" s="1">
        <v>50</v>
      </c>
      <c r="F20" s="1">
        <v>16</v>
      </c>
      <c r="G20" s="1">
        <v>54</v>
      </c>
      <c r="J20" s="1">
        <v>16</v>
      </c>
      <c r="K20" s="1"/>
    </row>
    <row r="21" spans="2:11" x14ac:dyDescent="0.3">
      <c r="B21" s="1">
        <v>17</v>
      </c>
      <c r="C21" s="1">
        <v>49.5</v>
      </c>
      <c r="F21" s="1">
        <v>17</v>
      </c>
      <c r="G21" s="1">
        <v>53.5</v>
      </c>
      <c r="J21" s="1">
        <v>17</v>
      </c>
      <c r="K21" s="1"/>
    </row>
    <row r="22" spans="2:11" x14ac:dyDescent="0.3">
      <c r="B22" s="1">
        <v>18</v>
      </c>
      <c r="C22" s="1">
        <v>48.5</v>
      </c>
      <c r="F22" s="1">
        <v>18</v>
      </c>
      <c r="G22" s="1">
        <v>52.5</v>
      </c>
      <c r="J22" s="1">
        <v>18</v>
      </c>
      <c r="K22" s="1"/>
    </row>
    <row r="23" spans="2:11" x14ac:dyDescent="0.3">
      <c r="B23" s="1">
        <v>19</v>
      </c>
      <c r="C23" s="1">
        <v>48</v>
      </c>
      <c r="F23" s="1">
        <v>19</v>
      </c>
      <c r="G23" s="1">
        <v>52.5</v>
      </c>
      <c r="J23" s="1">
        <v>19</v>
      </c>
      <c r="K23" s="1"/>
    </row>
    <row r="24" spans="2:11" x14ac:dyDescent="0.3">
      <c r="B24" s="1">
        <v>20</v>
      </c>
      <c r="C24" s="1">
        <v>47</v>
      </c>
      <c r="F24" s="1">
        <v>20</v>
      </c>
      <c r="G24" s="1">
        <v>52</v>
      </c>
      <c r="J24" s="1">
        <v>20</v>
      </c>
      <c r="K24" s="1"/>
    </row>
    <row r="25" spans="2:11" x14ac:dyDescent="0.3">
      <c r="B25" s="1">
        <v>21</v>
      </c>
      <c r="C25" s="1">
        <v>47</v>
      </c>
      <c r="F25" s="1">
        <v>21</v>
      </c>
      <c r="G25" s="1">
        <v>52</v>
      </c>
      <c r="J25" s="1">
        <v>21</v>
      </c>
      <c r="K25" s="1"/>
    </row>
    <row r="26" spans="2:11" x14ac:dyDescent="0.3">
      <c r="B26" s="1">
        <v>22</v>
      </c>
      <c r="C26" s="1">
        <v>46.5</v>
      </c>
      <c r="F26" s="1">
        <v>22</v>
      </c>
      <c r="G26" s="1">
        <v>52</v>
      </c>
      <c r="J26" s="1">
        <v>22</v>
      </c>
      <c r="K26" s="1"/>
    </row>
    <row r="27" spans="2:11" x14ac:dyDescent="0.3">
      <c r="B27" s="1">
        <v>23</v>
      </c>
      <c r="C27" s="1">
        <v>46.5</v>
      </c>
      <c r="F27" s="1">
        <v>23</v>
      </c>
      <c r="G27" s="1">
        <v>51.5</v>
      </c>
      <c r="J27" s="1">
        <v>23</v>
      </c>
      <c r="K27" s="1"/>
    </row>
    <row r="28" spans="2:11" x14ac:dyDescent="0.3">
      <c r="B28" s="1">
        <v>24</v>
      </c>
      <c r="C28" s="1">
        <v>45.5</v>
      </c>
      <c r="F28" s="1">
        <v>24</v>
      </c>
      <c r="G28" s="1">
        <v>50.5</v>
      </c>
      <c r="J28" s="1">
        <v>24</v>
      </c>
      <c r="K28" s="1"/>
    </row>
    <row r="29" spans="2:11" x14ac:dyDescent="0.3">
      <c r="B29" s="1">
        <v>25</v>
      </c>
      <c r="C29" s="1">
        <v>45.5</v>
      </c>
      <c r="F29" s="1">
        <v>25</v>
      </c>
      <c r="G29" s="1">
        <v>50</v>
      </c>
      <c r="J29" s="1">
        <v>25</v>
      </c>
      <c r="K29" s="1"/>
    </row>
    <row r="30" spans="2:11" x14ac:dyDescent="0.3">
      <c r="B30" s="1">
        <v>26</v>
      </c>
      <c r="C30" s="1">
        <v>45</v>
      </c>
      <c r="F30" s="1">
        <v>26</v>
      </c>
      <c r="G30" s="1">
        <v>50</v>
      </c>
      <c r="J30" s="1">
        <v>26</v>
      </c>
      <c r="K30" s="1"/>
    </row>
    <row r="31" spans="2:11" x14ac:dyDescent="0.3">
      <c r="B31" s="1">
        <v>27</v>
      </c>
      <c r="C31" s="1">
        <v>45</v>
      </c>
      <c r="F31" s="1">
        <v>27</v>
      </c>
      <c r="G31" s="1">
        <v>50</v>
      </c>
      <c r="J31" s="1">
        <v>27</v>
      </c>
      <c r="K31" s="1"/>
    </row>
    <row r="32" spans="2:11" x14ac:dyDescent="0.3">
      <c r="B32" s="1">
        <v>28</v>
      </c>
      <c r="C32" s="1">
        <v>44.5</v>
      </c>
      <c r="F32" s="1">
        <v>28</v>
      </c>
      <c r="G32" s="1">
        <v>50</v>
      </c>
      <c r="J32" s="1">
        <v>28</v>
      </c>
      <c r="K32" s="1"/>
    </row>
    <row r="33" spans="1:11" x14ac:dyDescent="0.3">
      <c r="B33" s="1">
        <v>29</v>
      </c>
      <c r="C33" s="1">
        <v>44</v>
      </c>
      <c r="F33" s="1">
        <v>29</v>
      </c>
      <c r="G33" s="1">
        <v>50</v>
      </c>
      <c r="J33" s="1">
        <v>29</v>
      </c>
      <c r="K33" s="1"/>
    </row>
    <row r="34" spans="1:11" x14ac:dyDescent="0.3">
      <c r="B34" s="1">
        <v>30</v>
      </c>
      <c r="C34" s="1">
        <v>44</v>
      </c>
      <c r="F34" s="1">
        <v>30</v>
      </c>
      <c r="G34" s="1">
        <v>49.5</v>
      </c>
      <c r="J34" s="1">
        <v>30</v>
      </c>
      <c r="K34" s="1"/>
    </row>
    <row r="35" spans="1:11" x14ac:dyDescent="0.3">
      <c r="B35" s="1">
        <v>33</v>
      </c>
      <c r="C35" s="1">
        <v>43.5</v>
      </c>
      <c r="F35" s="1">
        <v>33</v>
      </c>
      <c r="G35" s="1">
        <v>48.5</v>
      </c>
      <c r="J35" s="1">
        <v>33</v>
      </c>
      <c r="K35" s="1"/>
    </row>
    <row r="36" spans="1:11" x14ac:dyDescent="0.3">
      <c r="B36" s="1">
        <v>36</v>
      </c>
      <c r="C36" s="1">
        <v>43</v>
      </c>
      <c r="F36" s="1">
        <v>36</v>
      </c>
      <c r="G36" s="1">
        <v>47.5</v>
      </c>
      <c r="J36" s="1">
        <v>36</v>
      </c>
      <c r="K36" s="1"/>
    </row>
    <row r="37" spans="1:11" x14ac:dyDescent="0.3">
      <c r="B37" s="1">
        <v>39</v>
      </c>
      <c r="C37" s="1">
        <v>43</v>
      </c>
      <c r="F37" s="1">
        <v>39</v>
      </c>
      <c r="G37" s="1">
        <v>47</v>
      </c>
      <c r="J37" s="1">
        <v>39</v>
      </c>
      <c r="K37" s="1"/>
    </row>
    <row r="38" spans="1:11" x14ac:dyDescent="0.3">
      <c r="B38" s="1">
        <v>42</v>
      </c>
      <c r="C38" s="1">
        <v>42</v>
      </c>
      <c r="F38" s="1">
        <v>42</v>
      </c>
      <c r="G38" s="1">
        <v>46.5</v>
      </c>
      <c r="J38" s="1">
        <v>42</v>
      </c>
      <c r="K38" s="1"/>
    </row>
    <row r="39" spans="1:11" x14ac:dyDescent="0.3">
      <c r="B39" s="1">
        <v>45</v>
      </c>
      <c r="C39" s="1">
        <v>42</v>
      </c>
      <c r="F39" s="1">
        <v>45</v>
      </c>
      <c r="G39" s="1">
        <v>45</v>
      </c>
      <c r="J39" s="1">
        <v>45</v>
      </c>
      <c r="K39" s="1"/>
    </row>
    <row r="41" spans="1:11" x14ac:dyDescent="0.3">
      <c r="A41" t="s">
        <v>199</v>
      </c>
      <c r="B41">
        <v>39</v>
      </c>
      <c r="E41" t="s">
        <v>77</v>
      </c>
      <c r="F41">
        <v>31.5</v>
      </c>
      <c r="I41" t="s">
        <v>77</v>
      </c>
      <c r="J41">
        <v>33.5</v>
      </c>
    </row>
    <row r="42" spans="1:11" x14ac:dyDescent="0.3">
      <c r="A42" t="s">
        <v>78</v>
      </c>
      <c r="B42">
        <f>150-B41</f>
        <v>111</v>
      </c>
      <c r="E42" t="s">
        <v>78</v>
      </c>
      <c r="F42">
        <f>150-F41</f>
        <v>118.5</v>
      </c>
      <c r="I42" t="s">
        <v>78</v>
      </c>
      <c r="J42">
        <f>150-J41</f>
        <v>116.5</v>
      </c>
    </row>
    <row r="43" spans="1:11" x14ac:dyDescent="0.3">
      <c r="A43" t="s">
        <v>82</v>
      </c>
      <c r="B43">
        <v>65</v>
      </c>
      <c r="E43" t="s">
        <v>82</v>
      </c>
      <c r="F43">
        <v>60</v>
      </c>
      <c r="I43" t="s">
        <v>82</v>
      </c>
      <c r="J43">
        <v>50</v>
      </c>
    </row>
    <row r="44" spans="1:11" x14ac:dyDescent="0.3">
      <c r="A44" t="s">
        <v>84</v>
      </c>
      <c r="B44">
        <v>42</v>
      </c>
      <c r="E44" t="s">
        <v>84</v>
      </c>
      <c r="F44">
        <v>45</v>
      </c>
      <c r="I44" t="s">
        <v>84</v>
      </c>
      <c r="J44">
        <v>33.5</v>
      </c>
    </row>
    <row r="45" spans="1:11" x14ac:dyDescent="0.3">
      <c r="A45" t="s">
        <v>86</v>
      </c>
      <c r="B45">
        <v>45</v>
      </c>
      <c r="E45" t="s">
        <v>86</v>
      </c>
      <c r="F45">
        <v>45</v>
      </c>
      <c r="I45" t="s">
        <v>86</v>
      </c>
      <c r="J45">
        <v>13</v>
      </c>
    </row>
    <row r="48" spans="1:11" x14ac:dyDescent="0.3">
      <c r="A48" t="s">
        <v>77</v>
      </c>
      <c r="B48" t="s">
        <v>79</v>
      </c>
    </row>
    <row r="49" spans="1:3" x14ac:dyDescent="0.3">
      <c r="A49" t="s">
        <v>78</v>
      </c>
      <c r="B49" t="s">
        <v>81</v>
      </c>
      <c r="C49" t="s">
        <v>80</v>
      </c>
    </row>
    <row r="50" spans="1:3" x14ac:dyDescent="0.3">
      <c r="A50" t="s">
        <v>82</v>
      </c>
      <c r="B50" t="s">
        <v>83</v>
      </c>
    </row>
    <row r="51" spans="1:3" x14ac:dyDescent="0.3">
      <c r="A51" t="s">
        <v>84</v>
      </c>
      <c r="B51" t="s">
        <v>85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pane ySplit="2400" activePane="bottomLeft"/>
      <selection activeCell="E38" sqref="E38"/>
      <selection pane="bottomLeft" activeCell="A41" sqref="A41:B45"/>
    </sheetView>
  </sheetViews>
  <sheetFormatPr defaultRowHeight="14.4" x14ac:dyDescent="0.3"/>
  <cols>
    <col min="1" max="1" width="36.44140625" bestFit="1" customWidth="1"/>
    <col min="2" max="2" width="15.5546875" bestFit="1" customWidth="1"/>
    <col min="3" max="3" width="19.33203125" bestFit="1" customWidth="1"/>
    <col min="5" max="5" width="35.44140625" bestFit="1" customWidth="1"/>
    <col min="6" max="6" width="15.5546875" bestFit="1" customWidth="1"/>
    <col min="7" max="7" width="19.33203125" bestFit="1" customWidth="1"/>
    <col min="9" max="9" width="35.44140625" bestFit="1" customWidth="1"/>
    <col min="10" max="10" width="15.5546875" bestFit="1" customWidth="1"/>
    <col min="11" max="11" width="19.33203125" bestFit="1" customWidth="1"/>
  </cols>
  <sheetData>
    <row r="1" spans="1:11" x14ac:dyDescent="0.3">
      <c r="A1" s="1" t="s">
        <v>0</v>
      </c>
      <c r="B1" s="1" t="s">
        <v>7</v>
      </c>
      <c r="C1" s="1" t="s">
        <v>8</v>
      </c>
      <c r="E1" s="1" t="s">
        <v>0</v>
      </c>
      <c r="F1" s="1" t="s">
        <v>7</v>
      </c>
      <c r="G1" s="1" t="s">
        <v>8</v>
      </c>
      <c r="I1" s="1" t="s">
        <v>0</v>
      </c>
      <c r="J1" s="1" t="s">
        <v>7</v>
      </c>
      <c r="K1" s="1" t="s">
        <v>8</v>
      </c>
    </row>
    <row r="2" spans="1:11" x14ac:dyDescent="0.3">
      <c r="A2" s="1" t="s">
        <v>46</v>
      </c>
      <c r="B2" s="1" t="s">
        <v>9</v>
      </c>
      <c r="C2" s="1">
        <v>26.5</v>
      </c>
      <c r="E2" s="1" t="s">
        <v>46</v>
      </c>
      <c r="F2" s="1" t="s">
        <v>9</v>
      </c>
      <c r="G2" s="1">
        <v>21.4</v>
      </c>
      <c r="I2" s="1" t="s">
        <v>46</v>
      </c>
      <c r="J2" s="1" t="s">
        <v>9</v>
      </c>
      <c r="K2" s="1">
        <v>26.4</v>
      </c>
    </row>
    <row r="3" spans="1:11" x14ac:dyDescent="0.3">
      <c r="A3" s="1" t="s">
        <v>47</v>
      </c>
      <c r="B3" s="1" t="s">
        <v>10</v>
      </c>
      <c r="C3" s="1">
        <v>43.5</v>
      </c>
      <c r="E3" s="1" t="s">
        <v>47</v>
      </c>
      <c r="F3" s="1" t="s">
        <v>10</v>
      </c>
      <c r="G3" s="1">
        <v>37.5</v>
      </c>
      <c r="I3" s="1" t="s">
        <v>47</v>
      </c>
      <c r="J3" s="1" t="s">
        <v>10</v>
      </c>
      <c r="K3" s="1">
        <v>37</v>
      </c>
    </row>
    <row r="4" spans="1:11" x14ac:dyDescent="0.3">
      <c r="A4" s="1"/>
      <c r="B4" s="1">
        <v>0</v>
      </c>
      <c r="C4" s="1">
        <v>43.5</v>
      </c>
      <c r="E4" s="1"/>
      <c r="F4" s="1">
        <v>0</v>
      </c>
      <c r="G4" s="1">
        <v>37.5</v>
      </c>
      <c r="I4" s="1"/>
      <c r="J4" s="1">
        <v>0</v>
      </c>
      <c r="K4" s="1">
        <v>37</v>
      </c>
    </row>
    <row r="5" spans="1:11" x14ac:dyDescent="0.3">
      <c r="A5" s="1" t="s">
        <v>48</v>
      </c>
      <c r="B5" s="1">
        <v>1</v>
      </c>
      <c r="C5" s="1">
        <v>43.3</v>
      </c>
      <c r="E5" s="1" t="s">
        <v>48</v>
      </c>
      <c r="F5" s="1">
        <v>1</v>
      </c>
      <c r="G5" s="1">
        <v>37</v>
      </c>
      <c r="I5" s="1" t="s">
        <v>48</v>
      </c>
      <c r="J5" s="1">
        <v>1</v>
      </c>
      <c r="K5" s="1">
        <v>34.5</v>
      </c>
    </row>
    <row r="6" spans="1:11" x14ac:dyDescent="0.3">
      <c r="A6" s="1" t="s">
        <v>3</v>
      </c>
      <c r="B6" s="1">
        <v>2</v>
      </c>
      <c r="C6" s="1">
        <v>42.5</v>
      </c>
      <c r="E6" s="1" t="s">
        <v>11</v>
      </c>
      <c r="F6" s="1">
        <v>2</v>
      </c>
      <c r="G6" s="1">
        <v>35.799999999999997</v>
      </c>
      <c r="I6" s="1" t="s">
        <v>11</v>
      </c>
      <c r="J6" s="1">
        <v>2</v>
      </c>
      <c r="K6" s="1">
        <v>32.4</v>
      </c>
    </row>
    <row r="7" spans="1:11" x14ac:dyDescent="0.3">
      <c r="A7" s="1" t="s">
        <v>49</v>
      </c>
      <c r="B7" s="1">
        <v>3</v>
      </c>
      <c r="C7" s="1">
        <v>41.6</v>
      </c>
      <c r="E7" s="1" t="s">
        <v>51</v>
      </c>
      <c r="F7" s="1">
        <v>3</v>
      </c>
      <c r="G7" s="1">
        <v>34.9</v>
      </c>
      <c r="I7" s="1" t="s">
        <v>53</v>
      </c>
      <c r="J7" s="1">
        <v>3</v>
      </c>
      <c r="K7" s="1">
        <v>31.3</v>
      </c>
    </row>
    <row r="8" spans="1:11" x14ac:dyDescent="0.3">
      <c r="A8" s="1" t="s">
        <v>31</v>
      </c>
      <c r="B8" s="1">
        <v>4</v>
      </c>
      <c r="C8" s="1">
        <v>40.5</v>
      </c>
      <c r="E8" s="1" t="s">
        <v>52</v>
      </c>
      <c r="F8" s="1">
        <v>4</v>
      </c>
      <c r="G8" s="1">
        <v>33.799999999999997</v>
      </c>
      <c r="I8" s="1" t="s">
        <v>30</v>
      </c>
      <c r="J8" s="1">
        <v>4</v>
      </c>
      <c r="K8" s="1">
        <v>29.9</v>
      </c>
    </row>
    <row r="9" spans="1:11" x14ac:dyDescent="0.3">
      <c r="A9" s="2" t="s">
        <v>50</v>
      </c>
      <c r="B9" s="1">
        <v>5</v>
      </c>
      <c r="C9" s="1">
        <v>39.4</v>
      </c>
      <c r="E9" s="2" t="s">
        <v>50</v>
      </c>
      <c r="F9" s="1">
        <v>5</v>
      </c>
      <c r="G9" s="1">
        <v>33</v>
      </c>
      <c r="I9" s="2" t="s">
        <v>50</v>
      </c>
      <c r="J9" s="1">
        <v>5</v>
      </c>
      <c r="K9" s="1">
        <v>29.2</v>
      </c>
    </row>
    <row r="10" spans="1:11" x14ac:dyDescent="0.3">
      <c r="B10" s="1">
        <v>6</v>
      </c>
      <c r="C10" s="1">
        <v>38.5</v>
      </c>
      <c r="F10" s="1">
        <v>6</v>
      </c>
      <c r="G10" s="1">
        <v>32</v>
      </c>
      <c r="J10" s="1">
        <v>6</v>
      </c>
      <c r="K10" s="1">
        <v>28.2</v>
      </c>
    </row>
    <row r="11" spans="1:11" x14ac:dyDescent="0.3">
      <c r="B11" s="1">
        <v>7</v>
      </c>
      <c r="C11" s="1">
        <v>38.1</v>
      </c>
      <c r="F11" s="1">
        <v>7</v>
      </c>
      <c r="G11" s="1">
        <v>31.2</v>
      </c>
      <c r="J11" s="1">
        <v>7</v>
      </c>
      <c r="K11" s="1">
        <v>28</v>
      </c>
    </row>
    <row r="12" spans="1:11" x14ac:dyDescent="0.3">
      <c r="B12" s="1">
        <v>8</v>
      </c>
      <c r="C12" s="1">
        <v>37.299999999999997</v>
      </c>
      <c r="F12" s="1">
        <v>8</v>
      </c>
      <c r="G12" s="1">
        <v>30.3</v>
      </c>
      <c r="J12" s="1">
        <v>8</v>
      </c>
      <c r="K12" s="1">
        <v>27.7</v>
      </c>
    </row>
    <row r="13" spans="1:11" x14ac:dyDescent="0.3">
      <c r="B13" s="1">
        <v>9</v>
      </c>
      <c r="C13" s="1">
        <v>36.4</v>
      </c>
      <c r="F13" s="1">
        <v>9</v>
      </c>
      <c r="G13" s="1">
        <v>29.8</v>
      </c>
      <c r="J13" s="1">
        <v>9</v>
      </c>
      <c r="K13" s="1">
        <v>27.2</v>
      </c>
    </row>
    <row r="14" spans="1:11" x14ac:dyDescent="0.3">
      <c r="B14" s="1">
        <v>10</v>
      </c>
      <c r="C14" s="1">
        <v>35.799999999999997</v>
      </c>
      <c r="F14" s="1">
        <v>10</v>
      </c>
      <c r="G14" s="1">
        <v>29</v>
      </c>
      <c r="J14" s="1">
        <v>10</v>
      </c>
      <c r="K14" s="1">
        <v>27.1</v>
      </c>
    </row>
    <row r="15" spans="1:11" x14ac:dyDescent="0.3">
      <c r="B15" s="1">
        <v>11</v>
      </c>
      <c r="C15" s="1">
        <v>35.1</v>
      </c>
      <c r="F15" s="1">
        <v>11</v>
      </c>
      <c r="G15" s="1">
        <v>28.3</v>
      </c>
      <c r="J15" s="1">
        <v>11</v>
      </c>
      <c r="K15" s="1">
        <v>27</v>
      </c>
    </row>
    <row r="16" spans="1:11" x14ac:dyDescent="0.3">
      <c r="B16" s="1">
        <v>12</v>
      </c>
      <c r="C16" s="1">
        <v>34.200000000000003</v>
      </c>
      <c r="F16" s="1">
        <v>12</v>
      </c>
      <c r="G16" s="1">
        <v>27.7</v>
      </c>
      <c r="J16" s="1">
        <v>12</v>
      </c>
      <c r="K16" s="1">
        <v>26.7</v>
      </c>
    </row>
    <row r="17" spans="2:11" x14ac:dyDescent="0.3">
      <c r="B17" s="1">
        <v>13</v>
      </c>
      <c r="C17" s="1">
        <v>34</v>
      </c>
      <c r="F17" s="1">
        <v>13</v>
      </c>
      <c r="G17" s="1">
        <v>27.1</v>
      </c>
      <c r="J17" s="1">
        <v>13</v>
      </c>
      <c r="K17" s="1">
        <v>26.5</v>
      </c>
    </row>
    <row r="18" spans="2:11" x14ac:dyDescent="0.3">
      <c r="B18" s="1">
        <v>14</v>
      </c>
      <c r="C18" s="1">
        <v>33.299999999999997</v>
      </c>
      <c r="F18" s="1">
        <v>14</v>
      </c>
      <c r="G18" s="1">
        <v>26.6</v>
      </c>
      <c r="J18" s="1">
        <v>14</v>
      </c>
      <c r="K18" s="1">
        <v>26.4</v>
      </c>
    </row>
    <row r="19" spans="2:11" x14ac:dyDescent="0.3">
      <c r="B19" s="1">
        <v>15</v>
      </c>
      <c r="C19" s="1">
        <v>33</v>
      </c>
      <c r="F19" s="1">
        <v>15</v>
      </c>
      <c r="G19" s="1">
        <v>26.2</v>
      </c>
      <c r="J19" s="1">
        <v>15</v>
      </c>
      <c r="K19" s="1"/>
    </row>
    <row r="20" spans="2:11" x14ac:dyDescent="0.3">
      <c r="B20" s="1">
        <v>16</v>
      </c>
      <c r="C20" s="1">
        <v>32.200000000000003</v>
      </c>
      <c r="F20" s="1">
        <v>16</v>
      </c>
      <c r="G20" s="1">
        <v>25.7</v>
      </c>
      <c r="J20" s="1">
        <v>16</v>
      </c>
      <c r="K20" s="1"/>
    </row>
    <row r="21" spans="2:11" x14ac:dyDescent="0.3">
      <c r="B21" s="1">
        <v>17</v>
      </c>
      <c r="C21" s="1">
        <v>31.8</v>
      </c>
      <c r="F21" s="1">
        <v>17</v>
      </c>
      <c r="G21" s="1">
        <v>24.8</v>
      </c>
      <c r="J21" s="1">
        <v>17</v>
      </c>
      <c r="K21" s="1"/>
    </row>
    <row r="22" spans="2:11" x14ac:dyDescent="0.3">
      <c r="B22" s="1">
        <v>18</v>
      </c>
      <c r="C22" s="1">
        <v>31.5</v>
      </c>
      <c r="F22" s="1">
        <v>18</v>
      </c>
      <c r="G22" s="1">
        <v>24.2</v>
      </c>
      <c r="J22" s="1">
        <v>18</v>
      </c>
      <c r="K22" s="1"/>
    </row>
    <row r="23" spans="2:11" x14ac:dyDescent="0.3">
      <c r="B23" s="1">
        <v>19</v>
      </c>
      <c r="C23" s="1">
        <v>31.1</v>
      </c>
      <c r="F23" s="1">
        <v>19</v>
      </c>
      <c r="G23" s="1">
        <v>23.6</v>
      </c>
      <c r="J23" s="1">
        <v>19</v>
      </c>
      <c r="K23" s="1"/>
    </row>
    <row r="24" spans="2:11" x14ac:dyDescent="0.3">
      <c r="B24" s="1">
        <v>20</v>
      </c>
      <c r="C24" s="1">
        <v>30.6</v>
      </c>
      <c r="F24" s="1">
        <v>20</v>
      </c>
      <c r="G24" s="1">
        <v>23</v>
      </c>
      <c r="J24" s="1">
        <v>20</v>
      </c>
      <c r="K24" s="1"/>
    </row>
    <row r="25" spans="2:11" x14ac:dyDescent="0.3">
      <c r="B25" s="1">
        <v>21</v>
      </c>
      <c r="C25" s="1">
        <v>30.3</v>
      </c>
      <c r="F25" s="1">
        <v>21</v>
      </c>
      <c r="G25" s="1">
        <v>22.8</v>
      </c>
      <c r="J25" s="1">
        <v>21</v>
      </c>
      <c r="K25" s="1"/>
    </row>
    <row r="26" spans="2:11" x14ac:dyDescent="0.3">
      <c r="B26" s="1">
        <v>22</v>
      </c>
      <c r="C26" s="1">
        <v>30</v>
      </c>
      <c r="F26" s="1">
        <v>22</v>
      </c>
      <c r="G26" s="1">
        <v>22.4</v>
      </c>
      <c r="J26" s="1">
        <v>22</v>
      </c>
      <c r="K26" s="1"/>
    </row>
    <row r="27" spans="2:11" x14ac:dyDescent="0.3">
      <c r="B27" s="1">
        <v>23</v>
      </c>
      <c r="C27" s="1">
        <v>29.7</v>
      </c>
      <c r="F27" s="1">
        <v>23</v>
      </c>
      <c r="G27" s="1">
        <v>22.2</v>
      </c>
      <c r="J27" s="1">
        <v>23</v>
      </c>
      <c r="K27" s="1"/>
    </row>
    <row r="28" spans="2:11" x14ac:dyDescent="0.3">
      <c r="B28" s="1">
        <v>24</v>
      </c>
      <c r="C28" s="1">
        <v>29.4</v>
      </c>
      <c r="F28" s="1">
        <v>24</v>
      </c>
      <c r="G28" s="1">
        <v>21.7</v>
      </c>
      <c r="J28" s="1">
        <v>24</v>
      </c>
      <c r="K28" s="1"/>
    </row>
    <row r="29" spans="2:11" x14ac:dyDescent="0.3">
      <c r="B29" s="1">
        <v>25</v>
      </c>
      <c r="C29" s="1">
        <v>29</v>
      </c>
      <c r="F29" s="1">
        <v>25</v>
      </c>
      <c r="G29" s="1">
        <v>21.4</v>
      </c>
      <c r="J29" s="1">
        <v>25</v>
      </c>
      <c r="K29" s="1"/>
    </row>
    <row r="30" spans="2:11" x14ac:dyDescent="0.3">
      <c r="B30" s="1">
        <v>26</v>
      </c>
      <c r="C30" s="1">
        <v>28.6</v>
      </c>
      <c r="F30" s="1">
        <v>26</v>
      </c>
      <c r="G30" s="1"/>
      <c r="J30" s="1">
        <v>26</v>
      </c>
      <c r="K30" s="1"/>
    </row>
    <row r="31" spans="2:11" x14ac:dyDescent="0.3">
      <c r="B31" s="1">
        <v>27</v>
      </c>
      <c r="C31" s="1">
        <v>28.2</v>
      </c>
      <c r="F31" s="1">
        <v>27</v>
      </c>
      <c r="G31" s="1"/>
      <c r="J31" s="1">
        <v>27</v>
      </c>
      <c r="K31" s="1"/>
    </row>
    <row r="32" spans="2:11" x14ac:dyDescent="0.3">
      <c r="B32" s="1">
        <v>28</v>
      </c>
      <c r="C32" s="1">
        <v>27.9</v>
      </c>
      <c r="F32" s="1">
        <v>28</v>
      </c>
      <c r="G32" s="1"/>
      <c r="J32" s="1">
        <v>28</v>
      </c>
      <c r="K32" s="1"/>
    </row>
    <row r="33" spans="1:11" x14ac:dyDescent="0.3">
      <c r="B33" s="1">
        <v>29</v>
      </c>
      <c r="C33" s="1">
        <v>27.5</v>
      </c>
      <c r="F33" s="1">
        <v>29</v>
      </c>
      <c r="G33" s="1"/>
      <c r="J33" s="1">
        <v>29</v>
      </c>
      <c r="K33" s="1"/>
    </row>
    <row r="34" spans="1:11" x14ac:dyDescent="0.3">
      <c r="B34" s="1">
        <v>30</v>
      </c>
      <c r="C34" s="1">
        <v>27.2</v>
      </c>
      <c r="F34" s="1">
        <v>30</v>
      </c>
      <c r="G34" s="1"/>
      <c r="J34" s="1">
        <v>30</v>
      </c>
      <c r="K34" s="1"/>
    </row>
    <row r="35" spans="1:11" x14ac:dyDescent="0.3">
      <c r="B35" s="1">
        <v>33</v>
      </c>
      <c r="C35" s="1">
        <v>26.5</v>
      </c>
      <c r="F35" s="1">
        <v>33</v>
      </c>
      <c r="G35" s="1"/>
      <c r="J35" s="1">
        <v>33</v>
      </c>
      <c r="K35" s="1"/>
    </row>
    <row r="36" spans="1:11" x14ac:dyDescent="0.3">
      <c r="B36" s="1">
        <v>36</v>
      </c>
      <c r="C36" s="1"/>
      <c r="F36" s="1">
        <v>36</v>
      </c>
      <c r="G36" s="1"/>
      <c r="J36" s="1">
        <v>36</v>
      </c>
      <c r="K36" s="1"/>
    </row>
    <row r="37" spans="1:11" x14ac:dyDescent="0.3">
      <c r="B37" s="1">
        <v>39</v>
      </c>
      <c r="C37" s="1"/>
      <c r="F37" s="1">
        <v>39</v>
      </c>
      <c r="G37" s="1"/>
      <c r="J37" s="1">
        <v>39</v>
      </c>
      <c r="K37" s="1"/>
    </row>
    <row r="38" spans="1:11" x14ac:dyDescent="0.3">
      <c r="B38" s="1">
        <v>42</v>
      </c>
      <c r="C38" s="1"/>
      <c r="F38" s="1">
        <v>42</v>
      </c>
      <c r="G38" s="1"/>
      <c r="J38" s="1">
        <v>42</v>
      </c>
      <c r="K38" s="1"/>
    </row>
    <row r="39" spans="1:11" x14ac:dyDescent="0.3">
      <c r="B39" s="1">
        <v>45</v>
      </c>
      <c r="C39" s="1"/>
      <c r="F39" s="1">
        <v>45</v>
      </c>
      <c r="G39" s="1"/>
      <c r="J39" s="1">
        <v>45</v>
      </c>
      <c r="K39" s="1"/>
    </row>
    <row r="41" spans="1:11" x14ac:dyDescent="0.3">
      <c r="A41" t="s">
        <v>77</v>
      </c>
      <c r="B41">
        <f>C2</f>
        <v>26.5</v>
      </c>
      <c r="F41">
        <f>G2</f>
        <v>21.4</v>
      </c>
      <c r="J41">
        <f>K2</f>
        <v>26.4</v>
      </c>
    </row>
    <row r="42" spans="1:11" x14ac:dyDescent="0.3">
      <c r="A42" t="s">
        <v>78</v>
      </c>
      <c r="B42">
        <f>150-B41</f>
        <v>123.5</v>
      </c>
      <c r="F42">
        <f>150-F41</f>
        <v>128.6</v>
      </c>
      <c r="J42">
        <f>150-J41</f>
        <v>123.6</v>
      </c>
    </row>
    <row r="43" spans="1:11" x14ac:dyDescent="0.3">
      <c r="A43" t="s">
        <v>82</v>
      </c>
      <c r="B43">
        <f>C4</f>
        <v>43.5</v>
      </c>
      <c r="F43">
        <f>G4</f>
        <v>37.5</v>
      </c>
      <c r="J43">
        <f>K4</f>
        <v>37</v>
      </c>
    </row>
    <row r="44" spans="1:11" x14ac:dyDescent="0.3">
      <c r="A44" t="s">
        <v>84</v>
      </c>
      <c r="B44">
        <f>C35</f>
        <v>26.5</v>
      </c>
      <c r="F44">
        <f>G29</f>
        <v>21.4</v>
      </c>
      <c r="J44">
        <f>K18</f>
        <v>26.4</v>
      </c>
    </row>
    <row r="45" spans="1:11" x14ac:dyDescent="0.3">
      <c r="A45" t="s">
        <v>86</v>
      </c>
      <c r="B45">
        <f>B35</f>
        <v>33</v>
      </c>
      <c r="F45">
        <f>F29</f>
        <v>25</v>
      </c>
      <c r="J45">
        <f>J18</f>
        <v>14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pane ySplit="3000" topLeftCell="A35" activePane="bottomLeft"/>
      <selection activeCell="D11" sqref="D11"/>
      <selection pane="bottomLeft" activeCell="E42" sqref="E42"/>
    </sheetView>
  </sheetViews>
  <sheetFormatPr defaultRowHeight="14.4" x14ac:dyDescent="0.3"/>
  <cols>
    <col min="1" max="1" width="36.44140625" bestFit="1" customWidth="1"/>
    <col min="2" max="2" width="15.5546875" bestFit="1" customWidth="1"/>
    <col min="3" max="3" width="19.33203125" bestFit="1" customWidth="1"/>
    <col min="5" max="5" width="35.44140625" bestFit="1" customWidth="1"/>
    <col min="6" max="6" width="15.5546875" bestFit="1" customWidth="1"/>
    <col min="7" max="7" width="19.33203125" bestFit="1" customWidth="1"/>
    <col min="9" max="9" width="35.44140625" bestFit="1" customWidth="1"/>
    <col min="10" max="10" width="15.5546875" bestFit="1" customWidth="1"/>
    <col min="11" max="11" width="19.33203125" bestFit="1" customWidth="1"/>
  </cols>
  <sheetData>
    <row r="1" spans="1:11" x14ac:dyDescent="0.3">
      <c r="A1" s="1" t="s">
        <v>0</v>
      </c>
      <c r="B1" s="1" t="s">
        <v>7</v>
      </c>
      <c r="C1" s="1" t="s">
        <v>8</v>
      </c>
      <c r="E1" s="1" t="s">
        <v>0</v>
      </c>
      <c r="F1" s="1" t="s">
        <v>7</v>
      </c>
      <c r="G1" s="1" t="s">
        <v>8</v>
      </c>
      <c r="I1" s="1" t="s">
        <v>0</v>
      </c>
      <c r="J1" s="1" t="s">
        <v>7</v>
      </c>
      <c r="K1" s="1" t="s">
        <v>8</v>
      </c>
    </row>
    <row r="2" spans="1:11" x14ac:dyDescent="0.3">
      <c r="A2" s="1" t="s">
        <v>16</v>
      </c>
      <c r="B2" s="1" t="s">
        <v>9</v>
      </c>
      <c r="C2" s="1">
        <v>46</v>
      </c>
      <c r="E2" s="1" t="s">
        <v>16</v>
      </c>
      <c r="F2" s="1" t="s">
        <v>9</v>
      </c>
      <c r="G2" s="1">
        <v>37</v>
      </c>
      <c r="I2" s="1" t="s">
        <v>22</v>
      </c>
      <c r="J2" s="1" t="s">
        <v>9</v>
      </c>
      <c r="K2" s="1">
        <v>49</v>
      </c>
    </row>
    <row r="3" spans="1:11" x14ac:dyDescent="0.3">
      <c r="A3" s="1" t="s">
        <v>17</v>
      </c>
      <c r="B3" s="1" t="s">
        <v>10</v>
      </c>
      <c r="C3" s="1">
        <v>72</v>
      </c>
      <c r="E3" s="1" t="s">
        <v>17</v>
      </c>
      <c r="F3" s="1" t="s">
        <v>10</v>
      </c>
      <c r="G3" s="1">
        <v>61</v>
      </c>
      <c r="I3" s="1" t="s">
        <v>17</v>
      </c>
      <c r="J3" s="1" t="s">
        <v>10</v>
      </c>
      <c r="K3" s="1">
        <v>71</v>
      </c>
    </row>
    <row r="4" spans="1:11" x14ac:dyDescent="0.3">
      <c r="A4" s="1"/>
      <c r="B4" s="1">
        <v>0</v>
      </c>
      <c r="C4" s="1">
        <v>72</v>
      </c>
      <c r="E4" s="1"/>
      <c r="F4" s="1">
        <v>0</v>
      </c>
      <c r="G4" s="1">
        <v>61</v>
      </c>
      <c r="I4" s="1"/>
      <c r="J4" s="1">
        <v>0</v>
      </c>
      <c r="K4" s="1">
        <v>71</v>
      </c>
    </row>
    <row r="5" spans="1:11" x14ac:dyDescent="0.3">
      <c r="A5" s="1" t="s">
        <v>18</v>
      </c>
      <c r="B5" s="1">
        <v>1</v>
      </c>
      <c r="C5" s="1">
        <v>70</v>
      </c>
      <c r="E5" s="1" t="s">
        <v>18</v>
      </c>
      <c r="F5" s="1">
        <v>1</v>
      </c>
      <c r="G5" s="1">
        <v>60</v>
      </c>
      <c r="I5" s="1" t="s">
        <v>18</v>
      </c>
      <c r="J5" s="1">
        <v>1</v>
      </c>
      <c r="K5" s="1">
        <v>70</v>
      </c>
    </row>
    <row r="6" spans="1:11" x14ac:dyDescent="0.3">
      <c r="A6" s="1" t="s">
        <v>3</v>
      </c>
      <c r="B6" s="1">
        <v>2</v>
      </c>
      <c r="C6" s="1">
        <v>70</v>
      </c>
      <c r="E6" s="1" t="s">
        <v>11</v>
      </c>
      <c r="F6" s="1">
        <v>2</v>
      </c>
      <c r="G6" s="1">
        <v>59.5</v>
      </c>
      <c r="I6" s="1" t="s">
        <v>12</v>
      </c>
      <c r="J6" s="1">
        <v>2</v>
      </c>
      <c r="K6" s="1">
        <v>69.5</v>
      </c>
    </row>
    <row r="7" spans="1:11" x14ac:dyDescent="0.3">
      <c r="A7" s="1" t="s">
        <v>20</v>
      </c>
      <c r="B7" s="1">
        <v>3</v>
      </c>
      <c r="C7" s="1">
        <v>70</v>
      </c>
      <c r="E7" s="1" t="s">
        <v>23</v>
      </c>
      <c r="F7" s="1">
        <v>3</v>
      </c>
      <c r="G7" s="1">
        <v>58</v>
      </c>
      <c r="I7" s="1" t="s">
        <v>26</v>
      </c>
      <c r="J7" s="1">
        <v>3</v>
      </c>
      <c r="K7" s="1">
        <v>69</v>
      </c>
    </row>
    <row r="8" spans="1:11" x14ac:dyDescent="0.3">
      <c r="A8" s="1" t="s">
        <v>21</v>
      </c>
      <c r="B8" s="1">
        <v>4</v>
      </c>
      <c r="C8" s="1">
        <v>69.7</v>
      </c>
      <c r="E8" s="1" t="s">
        <v>24</v>
      </c>
      <c r="F8" s="1">
        <v>4</v>
      </c>
      <c r="G8" s="1">
        <v>57</v>
      </c>
      <c r="I8" s="1" t="s">
        <v>27</v>
      </c>
      <c r="J8" s="1">
        <v>4</v>
      </c>
      <c r="K8" s="1">
        <v>68.2</v>
      </c>
    </row>
    <row r="9" spans="1:11" x14ac:dyDescent="0.3">
      <c r="A9" s="2" t="s">
        <v>25</v>
      </c>
      <c r="B9" s="1">
        <v>5</v>
      </c>
      <c r="C9" s="1">
        <v>68.599999999999994</v>
      </c>
      <c r="E9" s="2" t="s">
        <v>25</v>
      </c>
      <c r="F9" s="1">
        <v>5</v>
      </c>
      <c r="G9" s="1">
        <v>56.8</v>
      </c>
      <c r="I9" s="2" t="s">
        <v>25</v>
      </c>
      <c r="J9" s="1">
        <v>5</v>
      </c>
      <c r="K9" s="1">
        <v>68</v>
      </c>
    </row>
    <row r="10" spans="1:11" x14ac:dyDescent="0.3">
      <c r="B10" s="1">
        <v>6</v>
      </c>
      <c r="C10" s="1">
        <v>68.400000000000006</v>
      </c>
      <c r="F10" s="1">
        <v>6</v>
      </c>
      <c r="G10" s="1">
        <v>56</v>
      </c>
      <c r="J10" s="1">
        <v>6</v>
      </c>
      <c r="K10" s="1">
        <v>67.900000000000006</v>
      </c>
    </row>
    <row r="11" spans="1:11" x14ac:dyDescent="0.3">
      <c r="B11" s="1">
        <v>7</v>
      </c>
      <c r="C11" s="1">
        <v>68</v>
      </c>
      <c r="F11" s="1">
        <v>7</v>
      </c>
      <c r="G11" s="1">
        <v>55</v>
      </c>
      <c r="J11" s="1">
        <v>7</v>
      </c>
      <c r="K11" s="1">
        <v>67</v>
      </c>
    </row>
    <row r="12" spans="1:11" x14ac:dyDescent="0.3">
      <c r="B12" s="1">
        <v>8</v>
      </c>
      <c r="C12" s="1">
        <v>68</v>
      </c>
      <c r="F12" s="1">
        <v>8</v>
      </c>
      <c r="G12" s="1">
        <v>54.5</v>
      </c>
      <c r="J12" s="1">
        <v>8</v>
      </c>
      <c r="K12" s="1">
        <v>66.599999999999994</v>
      </c>
    </row>
    <row r="13" spans="1:11" x14ac:dyDescent="0.3">
      <c r="B13" s="1">
        <v>9</v>
      </c>
      <c r="C13" s="1">
        <v>67.7</v>
      </c>
      <c r="F13" s="1">
        <v>9</v>
      </c>
      <c r="G13" s="1">
        <v>53.8</v>
      </c>
      <c r="J13" s="1">
        <v>9</v>
      </c>
      <c r="K13" s="1">
        <v>66</v>
      </c>
    </row>
    <row r="14" spans="1:11" x14ac:dyDescent="0.3">
      <c r="B14" s="1">
        <v>10</v>
      </c>
      <c r="C14" s="1">
        <v>67</v>
      </c>
      <c r="F14" s="1">
        <v>10</v>
      </c>
      <c r="G14" s="1">
        <v>53</v>
      </c>
      <c r="J14" s="1">
        <v>10</v>
      </c>
      <c r="K14" s="1">
        <v>65.5</v>
      </c>
    </row>
    <row r="15" spans="1:11" x14ac:dyDescent="0.3">
      <c r="B15" s="1">
        <v>11</v>
      </c>
      <c r="C15" s="1">
        <v>66.7</v>
      </c>
      <c r="F15" s="1">
        <v>11</v>
      </c>
      <c r="G15" s="1">
        <v>52.5</v>
      </c>
      <c r="J15" s="1">
        <v>11</v>
      </c>
      <c r="K15" s="1">
        <v>65.400000000000006</v>
      </c>
    </row>
    <row r="16" spans="1:11" x14ac:dyDescent="0.3">
      <c r="B16" s="1">
        <v>12</v>
      </c>
      <c r="C16" s="1">
        <v>66.5</v>
      </c>
      <c r="F16" s="1">
        <v>12</v>
      </c>
      <c r="G16" s="1">
        <v>52</v>
      </c>
      <c r="J16" s="1">
        <v>12</v>
      </c>
      <c r="K16" s="1">
        <v>65</v>
      </c>
    </row>
    <row r="17" spans="2:11" x14ac:dyDescent="0.3">
      <c r="B17" s="1">
        <v>13</v>
      </c>
      <c r="C17" s="1">
        <v>66.400000000000006</v>
      </c>
      <c r="F17" s="1">
        <v>13</v>
      </c>
      <c r="G17" s="1">
        <v>51.5</v>
      </c>
      <c r="J17" s="1">
        <v>13</v>
      </c>
      <c r="K17" s="1">
        <v>64.5</v>
      </c>
    </row>
    <row r="18" spans="2:11" x14ac:dyDescent="0.3">
      <c r="B18" s="1">
        <v>14</v>
      </c>
      <c r="C18" s="1">
        <v>65.5</v>
      </c>
      <c r="F18" s="1">
        <v>14</v>
      </c>
      <c r="G18" s="1">
        <v>51</v>
      </c>
      <c r="J18" s="1">
        <v>14</v>
      </c>
      <c r="K18" s="1">
        <v>64</v>
      </c>
    </row>
    <row r="19" spans="2:11" x14ac:dyDescent="0.3">
      <c r="B19" s="1">
        <v>15</v>
      </c>
      <c r="C19" s="1">
        <v>65</v>
      </c>
      <c r="F19" s="1">
        <v>15</v>
      </c>
      <c r="G19" s="1">
        <v>50.2</v>
      </c>
      <c r="J19" s="1">
        <v>15</v>
      </c>
      <c r="K19" s="1">
        <v>63.2</v>
      </c>
    </row>
    <row r="20" spans="2:11" x14ac:dyDescent="0.3">
      <c r="B20" s="1">
        <v>16</v>
      </c>
      <c r="C20" s="1">
        <v>65.5</v>
      </c>
      <c r="F20" s="1">
        <v>16</v>
      </c>
      <c r="G20" s="1">
        <v>50</v>
      </c>
      <c r="J20" s="1">
        <v>16</v>
      </c>
      <c r="K20" s="1">
        <v>63</v>
      </c>
    </row>
    <row r="21" spans="2:11" x14ac:dyDescent="0.3">
      <c r="B21" s="1">
        <v>17</v>
      </c>
      <c r="C21" s="1">
        <v>65</v>
      </c>
      <c r="F21" s="1">
        <v>17</v>
      </c>
      <c r="G21" s="1">
        <v>49.5</v>
      </c>
      <c r="J21" s="1">
        <v>17</v>
      </c>
      <c r="K21" s="1">
        <v>62.7</v>
      </c>
    </row>
    <row r="22" spans="2:11" x14ac:dyDescent="0.3">
      <c r="B22" s="1">
        <v>18</v>
      </c>
      <c r="C22" s="1">
        <v>64.8</v>
      </c>
      <c r="F22" s="1">
        <v>18</v>
      </c>
      <c r="G22" s="1">
        <v>49</v>
      </c>
      <c r="J22" s="1">
        <v>18</v>
      </c>
      <c r="K22" s="1">
        <v>62</v>
      </c>
    </row>
    <row r="23" spans="2:11" x14ac:dyDescent="0.3">
      <c r="B23" s="1">
        <v>19</v>
      </c>
      <c r="C23" s="1">
        <v>64</v>
      </c>
      <c r="F23" s="1">
        <v>19</v>
      </c>
      <c r="G23" s="1">
        <v>48.5</v>
      </c>
      <c r="J23" s="1">
        <v>19</v>
      </c>
      <c r="K23" s="1">
        <v>62</v>
      </c>
    </row>
    <row r="24" spans="2:11" x14ac:dyDescent="0.3">
      <c r="B24" s="1">
        <v>20</v>
      </c>
      <c r="C24" s="1">
        <v>64</v>
      </c>
      <c r="F24" s="1">
        <v>20</v>
      </c>
      <c r="G24" s="1">
        <v>48</v>
      </c>
      <c r="J24" s="1">
        <v>20</v>
      </c>
      <c r="K24" s="1">
        <v>61.5</v>
      </c>
    </row>
    <row r="25" spans="2:11" x14ac:dyDescent="0.3">
      <c r="B25" s="1">
        <v>21</v>
      </c>
      <c r="C25" s="1">
        <v>64</v>
      </c>
      <c r="F25" s="1">
        <v>21</v>
      </c>
      <c r="G25" s="1">
        <v>47.5</v>
      </c>
      <c r="J25" s="1">
        <v>21</v>
      </c>
      <c r="K25" s="1">
        <v>61</v>
      </c>
    </row>
    <row r="26" spans="2:11" x14ac:dyDescent="0.3">
      <c r="B26" s="1">
        <v>22</v>
      </c>
      <c r="C26" s="1">
        <v>64</v>
      </c>
      <c r="F26" s="1">
        <v>22</v>
      </c>
      <c r="G26" s="1">
        <v>47.5</v>
      </c>
      <c r="J26" s="1">
        <v>22</v>
      </c>
      <c r="K26" s="1">
        <v>60.6</v>
      </c>
    </row>
    <row r="27" spans="2:11" x14ac:dyDescent="0.3">
      <c r="B27" s="1">
        <v>23</v>
      </c>
      <c r="C27" s="1">
        <v>63.7</v>
      </c>
      <c r="F27" s="1">
        <v>23</v>
      </c>
      <c r="G27" s="1">
        <v>47</v>
      </c>
      <c r="J27" s="1">
        <v>23</v>
      </c>
      <c r="K27" s="1">
        <v>60.5</v>
      </c>
    </row>
    <row r="28" spans="2:11" x14ac:dyDescent="0.3">
      <c r="B28" s="1">
        <v>24</v>
      </c>
      <c r="C28" s="1">
        <v>63.5</v>
      </c>
      <c r="F28" s="1">
        <v>24</v>
      </c>
      <c r="G28" s="1">
        <v>46.8</v>
      </c>
      <c r="J28" s="1">
        <v>24</v>
      </c>
      <c r="K28" s="1">
        <v>60</v>
      </c>
    </row>
    <row r="29" spans="2:11" x14ac:dyDescent="0.3">
      <c r="B29" s="1">
        <v>25</v>
      </c>
      <c r="C29" s="1">
        <v>63</v>
      </c>
      <c r="F29" s="1">
        <v>25</v>
      </c>
      <c r="G29" s="1">
        <v>46.5</v>
      </c>
      <c r="J29" s="1">
        <v>25</v>
      </c>
      <c r="K29" s="1">
        <v>59.8</v>
      </c>
    </row>
    <row r="30" spans="2:11" x14ac:dyDescent="0.3">
      <c r="B30" s="1">
        <v>26</v>
      </c>
      <c r="C30" s="1">
        <v>63</v>
      </c>
      <c r="F30" s="1">
        <v>26</v>
      </c>
      <c r="G30" s="1">
        <v>46.4</v>
      </c>
      <c r="J30" s="1">
        <v>26</v>
      </c>
      <c r="K30" s="1">
        <v>59.5</v>
      </c>
    </row>
    <row r="31" spans="2:11" x14ac:dyDescent="0.3">
      <c r="B31" s="1">
        <v>27</v>
      </c>
      <c r="C31" s="1">
        <v>62.5</v>
      </c>
      <c r="F31" s="1">
        <v>27</v>
      </c>
      <c r="G31" s="1">
        <v>45.5</v>
      </c>
      <c r="J31" s="1">
        <v>27</v>
      </c>
      <c r="K31" s="1">
        <v>59</v>
      </c>
    </row>
    <row r="32" spans="2:11" x14ac:dyDescent="0.3">
      <c r="B32" s="1">
        <v>28</v>
      </c>
      <c r="C32" s="1">
        <v>62</v>
      </c>
      <c r="F32" s="1">
        <v>28</v>
      </c>
      <c r="G32" s="1">
        <v>45</v>
      </c>
      <c r="J32" s="1">
        <v>28</v>
      </c>
      <c r="K32" s="1">
        <v>58.6</v>
      </c>
    </row>
    <row r="33" spans="1:11" x14ac:dyDescent="0.3">
      <c r="B33" s="1">
        <v>29</v>
      </c>
      <c r="C33" s="1">
        <v>61.5</v>
      </c>
      <c r="F33" s="1">
        <v>29</v>
      </c>
      <c r="G33" s="1">
        <v>45</v>
      </c>
      <c r="J33" s="1">
        <v>29</v>
      </c>
      <c r="K33" s="1">
        <v>58.5</v>
      </c>
    </row>
    <row r="34" spans="1:11" x14ac:dyDescent="0.3">
      <c r="B34" s="1">
        <v>30</v>
      </c>
      <c r="C34" s="1">
        <v>61.5</v>
      </c>
      <c r="F34" s="1">
        <v>30</v>
      </c>
      <c r="G34" s="1">
        <v>44</v>
      </c>
      <c r="J34" s="1">
        <v>30</v>
      </c>
      <c r="K34" s="1">
        <v>58</v>
      </c>
    </row>
    <row r="35" spans="1:11" x14ac:dyDescent="0.3">
      <c r="B35" s="1">
        <v>33</v>
      </c>
      <c r="C35" s="1">
        <v>61.2</v>
      </c>
      <c r="F35" s="1">
        <v>33</v>
      </c>
      <c r="G35" s="1">
        <v>44</v>
      </c>
      <c r="J35" s="1">
        <v>33</v>
      </c>
      <c r="K35" s="1">
        <v>56.5</v>
      </c>
    </row>
    <row r="36" spans="1:11" x14ac:dyDescent="0.3">
      <c r="B36" s="1">
        <v>36</v>
      </c>
      <c r="C36" s="1">
        <v>60.7</v>
      </c>
      <c r="F36" s="1">
        <v>36</v>
      </c>
      <c r="G36" s="1">
        <v>43.5</v>
      </c>
      <c r="J36" s="1">
        <v>36</v>
      </c>
      <c r="K36" s="1">
        <v>55.8</v>
      </c>
    </row>
    <row r="37" spans="1:11" x14ac:dyDescent="0.3">
      <c r="B37" s="1">
        <v>39</v>
      </c>
      <c r="C37" s="1">
        <v>60</v>
      </c>
      <c r="F37" s="1">
        <v>39</v>
      </c>
      <c r="G37" s="1">
        <v>43</v>
      </c>
      <c r="J37" s="1">
        <v>39</v>
      </c>
      <c r="K37" s="1">
        <v>54.5</v>
      </c>
    </row>
    <row r="38" spans="1:11" x14ac:dyDescent="0.3">
      <c r="B38" s="1">
        <v>42</v>
      </c>
      <c r="C38" s="1">
        <v>59.5</v>
      </c>
      <c r="F38" s="1">
        <v>42</v>
      </c>
      <c r="G38" s="1">
        <v>42</v>
      </c>
      <c r="J38" s="1">
        <v>42</v>
      </c>
      <c r="K38" s="1">
        <v>54</v>
      </c>
    </row>
    <row r="39" spans="1:11" x14ac:dyDescent="0.3">
      <c r="B39" s="1">
        <v>45</v>
      </c>
      <c r="C39" s="1">
        <v>58.8</v>
      </c>
      <c r="F39" s="1">
        <v>45</v>
      </c>
      <c r="G39" s="1">
        <v>41.5</v>
      </c>
      <c r="J39" s="1">
        <v>45</v>
      </c>
      <c r="K39" s="1">
        <v>53</v>
      </c>
    </row>
    <row r="40" spans="1:11" x14ac:dyDescent="0.3">
      <c r="B40" s="13"/>
      <c r="C40" s="13"/>
      <c r="F40" s="13"/>
      <c r="G40" s="13"/>
      <c r="J40" s="13"/>
      <c r="K40" s="13"/>
    </row>
    <row r="41" spans="1:11" x14ac:dyDescent="0.3">
      <c r="A41" t="s">
        <v>77</v>
      </c>
      <c r="B41">
        <f>C2</f>
        <v>46</v>
      </c>
      <c r="F41">
        <f>G2</f>
        <v>37</v>
      </c>
      <c r="J41">
        <f>K2</f>
        <v>49</v>
      </c>
    </row>
    <row r="42" spans="1:11" x14ac:dyDescent="0.3">
      <c r="A42" t="s">
        <v>78</v>
      </c>
      <c r="B42">
        <f>150-B41</f>
        <v>104</v>
      </c>
      <c r="F42">
        <f>150-F41</f>
        <v>113</v>
      </c>
      <c r="J42">
        <f>150-J41</f>
        <v>101</v>
      </c>
    </row>
    <row r="43" spans="1:11" x14ac:dyDescent="0.3">
      <c r="A43" t="s">
        <v>82</v>
      </c>
      <c r="B43">
        <f>C4</f>
        <v>72</v>
      </c>
      <c r="F43">
        <f>G4</f>
        <v>61</v>
      </c>
      <c r="J43">
        <f>K4</f>
        <v>71</v>
      </c>
    </row>
    <row r="44" spans="1:11" x14ac:dyDescent="0.3">
      <c r="A44" t="s">
        <v>84</v>
      </c>
      <c r="B44">
        <f>C39</f>
        <v>58.8</v>
      </c>
      <c r="F44">
        <f>G39</f>
        <v>41.5</v>
      </c>
      <c r="J44">
        <f>K39</f>
        <v>53</v>
      </c>
    </row>
    <row r="45" spans="1:11" x14ac:dyDescent="0.3">
      <c r="A45" t="s">
        <v>86</v>
      </c>
      <c r="B45">
        <f>B39</f>
        <v>45</v>
      </c>
      <c r="F45">
        <f>F39</f>
        <v>45</v>
      </c>
      <c r="J45">
        <f>J39</f>
        <v>45</v>
      </c>
    </row>
    <row r="48" spans="1:11" x14ac:dyDescent="0.3">
      <c r="A48" t="s">
        <v>77</v>
      </c>
      <c r="B48" t="s">
        <v>79</v>
      </c>
    </row>
    <row r="49" spans="1:3" x14ac:dyDescent="0.3">
      <c r="A49" t="s">
        <v>78</v>
      </c>
      <c r="B49" t="s">
        <v>81</v>
      </c>
      <c r="C49" t="s">
        <v>80</v>
      </c>
    </row>
    <row r="50" spans="1:3" x14ac:dyDescent="0.3">
      <c r="A50" t="s">
        <v>82</v>
      </c>
      <c r="B50" t="s">
        <v>83</v>
      </c>
    </row>
    <row r="51" spans="1:3" x14ac:dyDescent="0.3">
      <c r="A51" t="s">
        <v>84</v>
      </c>
      <c r="B51" t="s">
        <v>85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workbookViewId="0">
      <pane ySplit="3300" activePane="bottomLeft"/>
      <selection activeCell="A25" sqref="A25"/>
      <selection pane="bottomLeft" activeCell="B19" sqref="B19"/>
    </sheetView>
  </sheetViews>
  <sheetFormatPr defaultRowHeight="14.4" x14ac:dyDescent="0.3"/>
  <cols>
    <col min="1" max="1" width="36.44140625" bestFit="1" customWidth="1"/>
    <col min="2" max="2" width="15.5546875" bestFit="1" customWidth="1"/>
    <col min="3" max="3" width="19.33203125" bestFit="1" customWidth="1"/>
    <col min="5" max="5" width="35.44140625" bestFit="1" customWidth="1"/>
    <col min="6" max="6" width="15.5546875" bestFit="1" customWidth="1"/>
    <col min="7" max="7" width="19.33203125" bestFit="1" customWidth="1"/>
    <col min="9" max="9" width="35.44140625" bestFit="1" customWidth="1"/>
    <col min="10" max="10" width="15.5546875" bestFit="1" customWidth="1"/>
    <col min="11" max="11" width="19.33203125" bestFit="1" customWidth="1"/>
  </cols>
  <sheetData>
    <row r="1" spans="1:11" x14ac:dyDescent="0.3">
      <c r="A1" s="1" t="s">
        <v>0</v>
      </c>
      <c r="B1" s="1" t="s">
        <v>7</v>
      </c>
      <c r="C1" s="1" t="s">
        <v>8</v>
      </c>
      <c r="E1" s="1" t="s">
        <v>0</v>
      </c>
      <c r="F1" s="1" t="s">
        <v>7</v>
      </c>
      <c r="G1" s="1" t="s">
        <v>8</v>
      </c>
      <c r="I1" s="1" t="s">
        <v>0</v>
      </c>
      <c r="J1" s="1" t="s">
        <v>7</v>
      </c>
      <c r="K1" s="1" t="s">
        <v>8</v>
      </c>
    </row>
    <row r="2" spans="1:11" x14ac:dyDescent="0.3">
      <c r="A2" s="1" t="s">
        <v>29</v>
      </c>
      <c r="B2" s="1" t="s">
        <v>9</v>
      </c>
      <c r="C2" s="1">
        <v>53</v>
      </c>
      <c r="E2" s="1" t="s">
        <v>29</v>
      </c>
      <c r="F2" s="1" t="s">
        <v>9</v>
      </c>
      <c r="G2" s="1">
        <v>45.5</v>
      </c>
      <c r="I2" s="1" t="s">
        <v>29</v>
      </c>
      <c r="J2" s="1" t="s">
        <v>9</v>
      </c>
      <c r="K2" s="1">
        <v>47</v>
      </c>
    </row>
    <row r="3" spans="1:11" x14ac:dyDescent="0.3">
      <c r="A3" s="1" t="s">
        <v>33</v>
      </c>
      <c r="B3" s="1" t="s">
        <v>10</v>
      </c>
      <c r="C3" s="1">
        <v>60</v>
      </c>
      <c r="E3" s="1" t="s">
        <v>33</v>
      </c>
      <c r="F3" s="1" t="s">
        <v>10</v>
      </c>
      <c r="G3" s="1">
        <v>57.5</v>
      </c>
      <c r="I3" s="1" t="s">
        <v>33</v>
      </c>
      <c r="J3" s="1" t="s">
        <v>10</v>
      </c>
      <c r="K3" s="1">
        <v>59</v>
      </c>
    </row>
    <row r="4" spans="1:11" x14ac:dyDescent="0.3">
      <c r="A4" s="1"/>
      <c r="B4" s="1">
        <v>1</v>
      </c>
      <c r="C4" s="1">
        <v>59.5</v>
      </c>
      <c r="E4" s="1"/>
      <c r="F4" s="1">
        <v>1</v>
      </c>
      <c r="G4" s="1">
        <v>57.3</v>
      </c>
      <c r="I4" s="1"/>
      <c r="J4" s="1">
        <v>1</v>
      </c>
      <c r="K4" s="1">
        <v>59.7</v>
      </c>
    </row>
    <row r="5" spans="1:11" x14ac:dyDescent="0.3">
      <c r="A5" s="1" t="s">
        <v>32</v>
      </c>
      <c r="B5" s="1">
        <v>2</v>
      </c>
      <c r="C5" s="1">
        <v>59.5</v>
      </c>
      <c r="E5" s="1" t="s">
        <v>32</v>
      </c>
      <c r="F5" s="1">
        <v>2</v>
      </c>
      <c r="G5" s="1">
        <v>57.1</v>
      </c>
      <c r="I5" s="1" t="s">
        <v>32</v>
      </c>
      <c r="J5" s="1">
        <v>2</v>
      </c>
      <c r="K5" s="1">
        <v>59.5</v>
      </c>
    </row>
    <row r="6" spans="1:11" x14ac:dyDescent="0.3">
      <c r="A6" s="1" t="s">
        <v>3</v>
      </c>
      <c r="B6" s="1">
        <v>3</v>
      </c>
      <c r="C6" s="1">
        <v>58</v>
      </c>
      <c r="E6" s="1" t="s">
        <v>11</v>
      </c>
      <c r="F6" s="1">
        <v>3</v>
      </c>
      <c r="G6" s="1">
        <v>57</v>
      </c>
      <c r="I6" s="1" t="s">
        <v>12</v>
      </c>
      <c r="J6" s="1">
        <v>3</v>
      </c>
      <c r="K6" s="1">
        <v>59.2</v>
      </c>
    </row>
    <row r="7" spans="1:11" x14ac:dyDescent="0.3">
      <c r="A7" s="1" t="s">
        <v>35</v>
      </c>
      <c r="B7" s="1">
        <v>4</v>
      </c>
      <c r="C7" s="1">
        <v>58</v>
      </c>
      <c r="E7" s="1" t="s">
        <v>37</v>
      </c>
      <c r="F7" s="1">
        <v>4</v>
      </c>
      <c r="G7" s="1">
        <v>56.5</v>
      </c>
      <c r="I7" s="1" t="s">
        <v>38</v>
      </c>
      <c r="J7" s="1">
        <v>4</v>
      </c>
      <c r="K7" s="1">
        <v>59</v>
      </c>
    </row>
    <row r="8" spans="1:11" x14ac:dyDescent="0.3">
      <c r="A8" s="1" t="s">
        <v>36</v>
      </c>
      <c r="B8" s="1">
        <v>5</v>
      </c>
      <c r="C8" s="1">
        <v>58</v>
      </c>
      <c r="E8" s="1" t="s">
        <v>28</v>
      </c>
      <c r="F8" s="1">
        <v>5</v>
      </c>
      <c r="G8" s="1">
        <v>56.5</v>
      </c>
      <c r="I8" s="1" t="s">
        <v>36</v>
      </c>
      <c r="J8" s="1">
        <v>5</v>
      </c>
      <c r="K8" s="1">
        <v>58.5</v>
      </c>
    </row>
    <row r="9" spans="1:11" x14ac:dyDescent="0.3">
      <c r="A9" s="2" t="s">
        <v>34</v>
      </c>
      <c r="B9" s="1">
        <v>6</v>
      </c>
      <c r="C9" s="1">
        <v>58</v>
      </c>
      <c r="E9" s="2" t="s">
        <v>34</v>
      </c>
      <c r="F9" s="1">
        <v>6</v>
      </c>
      <c r="G9" s="1">
        <v>56.4</v>
      </c>
      <c r="I9" s="2" t="s">
        <v>34</v>
      </c>
      <c r="J9" s="1">
        <v>6</v>
      </c>
      <c r="K9" s="1">
        <v>58.3</v>
      </c>
    </row>
    <row r="10" spans="1:11" x14ac:dyDescent="0.3">
      <c r="B10" s="1">
        <v>7</v>
      </c>
      <c r="C10" s="1">
        <v>58</v>
      </c>
      <c r="F10" s="1">
        <v>7</v>
      </c>
      <c r="G10" s="1">
        <v>56.2</v>
      </c>
      <c r="J10" s="1">
        <v>7</v>
      </c>
      <c r="K10" s="1">
        <v>58.1</v>
      </c>
    </row>
    <row r="11" spans="1:11" x14ac:dyDescent="0.3">
      <c r="B11" s="1">
        <v>8</v>
      </c>
      <c r="C11" s="1">
        <v>57.8</v>
      </c>
      <c r="F11" s="1">
        <v>8</v>
      </c>
      <c r="G11" s="1">
        <v>56</v>
      </c>
      <c r="J11" s="1">
        <v>8</v>
      </c>
      <c r="K11" s="1">
        <v>57.9</v>
      </c>
    </row>
    <row r="12" spans="1:11" x14ac:dyDescent="0.3">
      <c r="B12" s="1">
        <v>9</v>
      </c>
      <c r="C12" s="1">
        <v>57.5</v>
      </c>
      <c r="F12" s="1">
        <v>9</v>
      </c>
      <c r="G12" s="17">
        <v>56</v>
      </c>
      <c r="H12" s="18">
        <v>55</v>
      </c>
      <c r="J12" s="1">
        <v>9</v>
      </c>
      <c r="K12" s="1">
        <v>57.6</v>
      </c>
    </row>
    <row r="13" spans="1:11" x14ac:dyDescent="0.3">
      <c r="B13" s="1">
        <v>10</v>
      </c>
      <c r="C13" s="1">
        <v>57.4</v>
      </c>
      <c r="F13" s="1">
        <v>10</v>
      </c>
      <c r="G13" s="1">
        <v>55.9</v>
      </c>
      <c r="J13" s="1">
        <v>10</v>
      </c>
      <c r="K13" s="1">
        <v>57.5</v>
      </c>
    </row>
    <row r="14" spans="1:11" x14ac:dyDescent="0.3">
      <c r="B14" s="1">
        <v>11</v>
      </c>
      <c r="C14" s="1">
        <v>57.2</v>
      </c>
      <c r="F14" s="1">
        <v>11</v>
      </c>
      <c r="G14" s="1">
        <v>55.7</v>
      </c>
      <c r="J14" s="1">
        <v>11</v>
      </c>
      <c r="K14" s="1">
        <v>57.3</v>
      </c>
    </row>
    <row r="15" spans="1:11" x14ac:dyDescent="0.3">
      <c r="B15" s="1">
        <v>12</v>
      </c>
      <c r="C15" s="1">
        <v>56.8</v>
      </c>
      <c r="F15" s="1">
        <v>12</v>
      </c>
      <c r="G15" s="1">
        <v>55.7</v>
      </c>
      <c r="J15" s="1">
        <v>12</v>
      </c>
      <c r="K15" s="1">
        <v>57.1</v>
      </c>
    </row>
    <row r="16" spans="1:11" x14ac:dyDescent="0.3">
      <c r="B16" s="1">
        <v>13</v>
      </c>
      <c r="C16" s="1">
        <v>56.4</v>
      </c>
      <c r="F16" s="1">
        <v>13</v>
      </c>
      <c r="G16" s="1">
        <v>55.6</v>
      </c>
      <c r="J16" s="1">
        <v>13</v>
      </c>
      <c r="K16" s="1">
        <v>56.8</v>
      </c>
    </row>
    <row r="17" spans="2:11" x14ac:dyDescent="0.3">
      <c r="B17" s="1">
        <v>14</v>
      </c>
      <c r="C17" s="1">
        <v>56</v>
      </c>
      <c r="F17" s="1">
        <v>14</v>
      </c>
      <c r="G17" s="1">
        <v>55.6</v>
      </c>
      <c r="J17" s="1">
        <v>14</v>
      </c>
      <c r="K17" s="1">
        <v>56.7</v>
      </c>
    </row>
    <row r="18" spans="2:11" x14ac:dyDescent="0.3">
      <c r="B18" s="1">
        <v>15</v>
      </c>
      <c r="C18" s="1">
        <v>55.5</v>
      </c>
      <c r="F18" s="1">
        <v>15</v>
      </c>
      <c r="G18" s="1">
        <v>55.4</v>
      </c>
      <c r="J18" s="1">
        <v>15</v>
      </c>
      <c r="K18" s="1">
        <v>56.3</v>
      </c>
    </row>
    <row r="19" spans="2:11" x14ac:dyDescent="0.3">
      <c r="B19" s="1">
        <v>16</v>
      </c>
      <c r="C19" s="1">
        <v>55.2</v>
      </c>
      <c r="F19" s="1">
        <v>16</v>
      </c>
      <c r="G19" s="1">
        <v>55.3</v>
      </c>
      <c r="J19" s="1">
        <v>16</v>
      </c>
      <c r="K19" s="1">
        <v>56.2</v>
      </c>
    </row>
    <row r="20" spans="2:11" x14ac:dyDescent="0.3">
      <c r="B20" s="1">
        <v>17</v>
      </c>
      <c r="C20" s="1">
        <v>55.1</v>
      </c>
      <c r="F20" s="1">
        <v>17</v>
      </c>
      <c r="G20" s="1">
        <v>55.2</v>
      </c>
      <c r="J20" s="1">
        <v>17</v>
      </c>
      <c r="K20" s="1">
        <v>55.9</v>
      </c>
    </row>
    <row r="21" spans="2:11" x14ac:dyDescent="0.3">
      <c r="B21" s="1">
        <v>18</v>
      </c>
      <c r="C21" s="1">
        <v>55</v>
      </c>
      <c r="F21" s="1">
        <v>18</v>
      </c>
      <c r="G21" s="1">
        <v>55.1</v>
      </c>
      <c r="J21" s="1">
        <v>18</v>
      </c>
      <c r="K21" s="1">
        <v>55.4</v>
      </c>
    </row>
    <row r="22" spans="2:11" x14ac:dyDescent="0.3">
      <c r="B22" s="1">
        <v>19</v>
      </c>
      <c r="C22" s="1">
        <v>54.9</v>
      </c>
      <c r="F22" s="1">
        <v>19</v>
      </c>
      <c r="G22" s="1">
        <v>54.8</v>
      </c>
      <c r="J22" s="1">
        <v>19</v>
      </c>
      <c r="K22" s="1">
        <v>55.3</v>
      </c>
    </row>
    <row r="23" spans="2:11" x14ac:dyDescent="0.3">
      <c r="B23" s="1">
        <v>20</v>
      </c>
      <c r="C23" s="1">
        <v>54.9</v>
      </c>
      <c r="F23" s="1">
        <v>20</v>
      </c>
      <c r="G23" s="1">
        <v>54.7</v>
      </c>
      <c r="J23" s="1">
        <v>20</v>
      </c>
      <c r="K23" s="1">
        <v>55</v>
      </c>
    </row>
    <row r="24" spans="2:11" x14ac:dyDescent="0.3">
      <c r="B24" s="1">
        <v>21</v>
      </c>
      <c r="C24" s="1">
        <v>54.7</v>
      </c>
      <c r="F24" s="1">
        <v>21</v>
      </c>
      <c r="G24" s="1">
        <v>54.6</v>
      </c>
      <c r="J24" s="1">
        <v>21</v>
      </c>
      <c r="K24" s="1">
        <v>54.8</v>
      </c>
    </row>
    <row r="25" spans="2:11" x14ac:dyDescent="0.3">
      <c r="B25" s="1">
        <v>22</v>
      </c>
      <c r="C25" s="1">
        <v>54.6</v>
      </c>
      <c r="F25" s="1">
        <v>22</v>
      </c>
      <c r="G25" s="1">
        <v>54.5</v>
      </c>
      <c r="J25" s="1">
        <v>22</v>
      </c>
      <c r="K25" s="1">
        <v>54.7</v>
      </c>
    </row>
    <row r="26" spans="2:11" x14ac:dyDescent="0.3">
      <c r="B26" s="1">
        <v>23</v>
      </c>
      <c r="C26" s="1">
        <v>54.6</v>
      </c>
      <c r="F26" s="1">
        <v>23</v>
      </c>
      <c r="G26" s="1">
        <v>54.5</v>
      </c>
      <c r="J26" s="1">
        <v>23</v>
      </c>
      <c r="K26" s="1">
        <v>54.6</v>
      </c>
    </row>
    <row r="27" spans="2:11" x14ac:dyDescent="0.3">
      <c r="B27" s="1">
        <v>24</v>
      </c>
      <c r="C27" s="1">
        <v>54.4</v>
      </c>
      <c r="F27" s="1">
        <v>24</v>
      </c>
      <c r="G27" s="1">
        <v>54.4</v>
      </c>
      <c r="J27" s="1">
        <v>24</v>
      </c>
      <c r="K27" s="1">
        <v>54.5</v>
      </c>
    </row>
    <row r="28" spans="2:11" x14ac:dyDescent="0.3">
      <c r="B28" s="1">
        <v>25</v>
      </c>
      <c r="C28" s="1">
        <v>54.3</v>
      </c>
      <c r="F28" s="1">
        <v>25</v>
      </c>
      <c r="G28" s="1">
        <v>54.3</v>
      </c>
      <c r="J28" s="1">
        <v>25</v>
      </c>
      <c r="K28" s="1">
        <v>54.3</v>
      </c>
    </row>
    <row r="29" spans="2:11" x14ac:dyDescent="0.3">
      <c r="B29" s="1">
        <v>26</v>
      </c>
      <c r="C29" s="1">
        <v>54</v>
      </c>
      <c r="F29" s="1">
        <v>26</v>
      </c>
      <c r="G29" s="1">
        <v>54.3</v>
      </c>
      <c r="J29" s="1">
        <v>26</v>
      </c>
      <c r="K29" s="1">
        <v>54.1</v>
      </c>
    </row>
    <row r="30" spans="2:11" x14ac:dyDescent="0.3">
      <c r="B30" s="1">
        <v>27</v>
      </c>
      <c r="C30" s="1">
        <v>53.9</v>
      </c>
      <c r="F30" s="1">
        <v>27</v>
      </c>
      <c r="G30" s="1">
        <v>54.1</v>
      </c>
      <c r="J30" s="1">
        <v>27</v>
      </c>
      <c r="K30" s="1">
        <v>53.9</v>
      </c>
    </row>
    <row r="31" spans="2:11" x14ac:dyDescent="0.3">
      <c r="B31" s="1">
        <v>28</v>
      </c>
      <c r="C31" s="1">
        <v>53.7</v>
      </c>
      <c r="F31" s="1">
        <v>28</v>
      </c>
      <c r="G31" s="1">
        <v>53.8</v>
      </c>
      <c r="J31" s="1">
        <v>28</v>
      </c>
      <c r="K31" s="1">
        <v>53.8</v>
      </c>
    </row>
    <row r="32" spans="2:11" x14ac:dyDescent="0.3">
      <c r="B32" s="1">
        <v>29</v>
      </c>
      <c r="C32" s="1">
        <v>53.6</v>
      </c>
      <c r="F32" s="1">
        <v>29</v>
      </c>
      <c r="G32" s="1">
        <v>53.7</v>
      </c>
      <c r="J32" s="1">
        <v>29</v>
      </c>
      <c r="K32" s="1">
        <v>53.6</v>
      </c>
    </row>
    <row r="33" spans="1:11" x14ac:dyDescent="0.3">
      <c r="B33" s="1">
        <v>30</v>
      </c>
      <c r="C33" s="1">
        <v>53.5</v>
      </c>
      <c r="F33" s="1">
        <v>30</v>
      </c>
      <c r="G33" s="1">
        <v>53.7</v>
      </c>
      <c r="J33" s="1">
        <v>30</v>
      </c>
      <c r="K33" s="1">
        <v>53.5</v>
      </c>
    </row>
    <row r="34" spans="1:11" x14ac:dyDescent="0.3">
      <c r="B34" s="1">
        <v>33</v>
      </c>
      <c r="C34" s="1">
        <v>53</v>
      </c>
      <c r="F34" s="1">
        <v>33</v>
      </c>
      <c r="G34" s="1">
        <v>53.2</v>
      </c>
      <c r="J34" s="1">
        <v>33</v>
      </c>
      <c r="K34" s="1">
        <v>53</v>
      </c>
    </row>
    <row r="35" spans="1:11" x14ac:dyDescent="0.3">
      <c r="B35" s="1">
        <v>36</v>
      </c>
      <c r="C35" s="1">
        <v>52.5</v>
      </c>
      <c r="F35" s="1">
        <v>36</v>
      </c>
      <c r="G35" s="1">
        <v>52.6</v>
      </c>
      <c r="J35" s="1">
        <v>36</v>
      </c>
      <c r="K35" s="1">
        <v>52.7</v>
      </c>
    </row>
    <row r="36" spans="1:11" x14ac:dyDescent="0.3">
      <c r="B36" s="1">
        <v>39</v>
      </c>
      <c r="C36" s="1">
        <v>51.7</v>
      </c>
      <c r="F36" s="1">
        <v>39</v>
      </c>
      <c r="G36" s="1">
        <v>52.1</v>
      </c>
      <c r="J36" s="1">
        <v>39</v>
      </c>
      <c r="K36" s="1">
        <v>52.5</v>
      </c>
    </row>
    <row r="37" spans="1:11" x14ac:dyDescent="0.3">
      <c r="B37" s="1">
        <v>42</v>
      </c>
      <c r="C37" s="1">
        <v>51.6</v>
      </c>
      <c r="F37" s="1">
        <v>42</v>
      </c>
      <c r="G37" s="1">
        <v>51.8</v>
      </c>
      <c r="J37" s="1">
        <v>42</v>
      </c>
      <c r="K37" s="1">
        <v>52.2</v>
      </c>
    </row>
    <row r="38" spans="1:11" x14ac:dyDescent="0.3">
      <c r="B38" s="1">
        <v>45</v>
      </c>
      <c r="C38" s="1">
        <v>51.2</v>
      </c>
      <c r="F38" s="1">
        <v>45</v>
      </c>
      <c r="G38" s="1">
        <v>51.2</v>
      </c>
      <c r="J38" s="1">
        <v>45</v>
      </c>
      <c r="K38" s="1">
        <v>51</v>
      </c>
    </row>
    <row r="40" spans="1:11" x14ac:dyDescent="0.3">
      <c r="A40" t="s">
        <v>77</v>
      </c>
      <c r="B40">
        <f>C2</f>
        <v>53</v>
      </c>
      <c r="F40">
        <f>G2</f>
        <v>45.5</v>
      </c>
      <c r="J40">
        <f>K2</f>
        <v>47</v>
      </c>
    </row>
    <row r="41" spans="1:11" x14ac:dyDescent="0.3">
      <c r="A41" t="s">
        <v>78</v>
      </c>
      <c r="B41">
        <f>150-B40</f>
        <v>97</v>
      </c>
      <c r="F41">
        <f>150-F40</f>
        <v>104.5</v>
      </c>
      <c r="J41">
        <f>150-J40</f>
        <v>103</v>
      </c>
    </row>
    <row r="42" spans="1:11" x14ac:dyDescent="0.3">
      <c r="A42" t="s">
        <v>82</v>
      </c>
      <c r="B42">
        <f>C3</f>
        <v>60</v>
      </c>
      <c r="F42">
        <f>G3</f>
        <v>57.5</v>
      </c>
      <c r="J42">
        <f>K3</f>
        <v>59</v>
      </c>
    </row>
    <row r="43" spans="1:11" x14ac:dyDescent="0.3">
      <c r="A43" t="s">
        <v>84</v>
      </c>
      <c r="B43">
        <f>C38</f>
        <v>51.2</v>
      </c>
      <c r="F43">
        <f>G38</f>
        <v>51.2</v>
      </c>
      <c r="J43">
        <f>K38</f>
        <v>51</v>
      </c>
    </row>
    <row r="44" spans="1:11" x14ac:dyDescent="0.3">
      <c r="A44" t="s">
        <v>86</v>
      </c>
      <c r="B44">
        <f>B38</f>
        <v>45</v>
      </c>
      <c r="F44">
        <f>F38</f>
        <v>45</v>
      </c>
      <c r="J44">
        <f>J38</f>
        <v>45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workbookViewId="0">
      <selection activeCell="A30" sqref="A30"/>
    </sheetView>
  </sheetViews>
  <sheetFormatPr defaultRowHeight="14.4" x14ac:dyDescent="0.3"/>
  <cols>
    <col min="1" max="1" width="36.44140625" bestFit="1" customWidth="1"/>
    <col min="2" max="2" width="15.5546875" bestFit="1" customWidth="1"/>
    <col min="3" max="3" width="19.33203125" bestFit="1" customWidth="1"/>
    <col min="5" max="5" width="35.44140625" bestFit="1" customWidth="1"/>
    <col min="6" max="6" width="15.5546875" bestFit="1" customWidth="1"/>
    <col min="7" max="7" width="19.33203125" bestFit="1" customWidth="1"/>
    <col min="9" max="9" width="35.44140625" bestFit="1" customWidth="1"/>
    <col min="10" max="10" width="15.5546875" bestFit="1" customWidth="1"/>
    <col min="11" max="11" width="19.33203125" bestFit="1" customWidth="1"/>
  </cols>
  <sheetData>
    <row r="1" spans="1:11" x14ac:dyDescent="0.3">
      <c r="A1" s="1" t="s">
        <v>0</v>
      </c>
      <c r="B1" s="1" t="s">
        <v>7</v>
      </c>
      <c r="C1" s="1" t="s">
        <v>8</v>
      </c>
      <c r="E1" s="1" t="s">
        <v>0</v>
      </c>
      <c r="F1" s="1" t="s">
        <v>7</v>
      </c>
      <c r="G1" s="1" t="s">
        <v>8</v>
      </c>
      <c r="I1" s="1" t="s">
        <v>0</v>
      </c>
      <c r="J1" s="1" t="s">
        <v>7</v>
      </c>
      <c r="K1" s="1" t="s">
        <v>8</v>
      </c>
    </row>
    <row r="2" spans="1:11" x14ac:dyDescent="0.3">
      <c r="A2" s="1" t="s">
        <v>45</v>
      </c>
      <c r="B2" s="1" t="s">
        <v>9</v>
      </c>
      <c r="C2" s="1">
        <v>58.5</v>
      </c>
      <c r="E2" s="1" t="s">
        <v>45</v>
      </c>
      <c r="F2" s="1" t="s">
        <v>9</v>
      </c>
      <c r="G2" s="1">
        <v>53</v>
      </c>
      <c r="I2" s="1" t="s">
        <v>45</v>
      </c>
      <c r="J2" s="1" t="s">
        <v>9</v>
      </c>
      <c r="K2" s="1">
        <v>49</v>
      </c>
    </row>
    <row r="3" spans="1:11" x14ac:dyDescent="0.3">
      <c r="A3" s="1" t="s">
        <v>39</v>
      </c>
      <c r="B3" s="1" t="s">
        <v>10</v>
      </c>
      <c r="C3" s="1">
        <v>63</v>
      </c>
      <c r="E3" s="1" t="s">
        <v>39</v>
      </c>
      <c r="F3" s="1" t="s">
        <v>10</v>
      </c>
      <c r="G3" s="1">
        <v>60</v>
      </c>
      <c r="I3" s="1" t="s">
        <v>39</v>
      </c>
      <c r="J3" s="1" t="s">
        <v>10</v>
      </c>
      <c r="K3" s="1">
        <v>60</v>
      </c>
    </row>
    <row r="4" spans="1:11" x14ac:dyDescent="0.3">
      <c r="A4" s="1"/>
      <c r="B4" s="1">
        <v>1</v>
      </c>
      <c r="C4" s="17">
        <v>63</v>
      </c>
      <c r="D4">
        <v>62.5</v>
      </c>
      <c r="E4" s="1"/>
      <c r="F4" s="1">
        <v>1</v>
      </c>
      <c r="G4" s="1">
        <v>59.4</v>
      </c>
      <c r="I4" s="1"/>
      <c r="J4" s="1">
        <v>1</v>
      </c>
      <c r="K4" s="1">
        <v>59.6</v>
      </c>
    </row>
    <row r="5" spans="1:11" x14ac:dyDescent="0.3">
      <c r="A5" s="1" t="s">
        <v>40</v>
      </c>
      <c r="B5" s="1">
        <v>2</v>
      </c>
      <c r="C5" s="1">
        <v>63</v>
      </c>
      <c r="E5" s="1" t="s">
        <v>40</v>
      </c>
      <c r="F5" s="1">
        <v>2</v>
      </c>
      <c r="G5" s="1">
        <v>59.1</v>
      </c>
      <c r="I5" s="1" t="s">
        <v>40</v>
      </c>
      <c r="J5" s="1">
        <v>2</v>
      </c>
      <c r="K5" s="1">
        <v>58.6</v>
      </c>
    </row>
    <row r="6" spans="1:11" x14ac:dyDescent="0.3">
      <c r="A6" s="1" t="s">
        <v>3</v>
      </c>
      <c r="B6" s="1">
        <v>3</v>
      </c>
      <c r="C6" s="1">
        <v>62.6</v>
      </c>
      <c r="E6" s="1" t="s">
        <v>11</v>
      </c>
      <c r="F6" s="1">
        <v>3</v>
      </c>
      <c r="G6" s="1">
        <v>58.5</v>
      </c>
      <c r="I6" s="1" t="s">
        <v>12</v>
      </c>
      <c r="J6" s="1">
        <v>3</v>
      </c>
      <c r="K6" s="1">
        <v>58.6</v>
      </c>
    </row>
    <row r="7" spans="1:11" x14ac:dyDescent="0.3">
      <c r="A7" s="1" t="s">
        <v>41</v>
      </c>
      <c r="B7" s="1">
        <v>4</v>
      </c>
      <c r="C7" s="1">
        <v>62.2</v>
      </c>
      <c r="E7" s="1" t="s">
        <v>42</v>
      </c>
      <c r="F7" s="1">
        <v>4</v>
      </c>
      <c r="G7" s="1">
        <v>58.5</v>
      </c>
      <c r="I7" s="1" t="s">
        <v>43</v>
      </c>
      <c r="J7" s="1">
        <v>4</v>
      </c>
      <c r="K7" s="1">
        <v>58.3</v>
      </c>
    </row>
    <row r="8" spans="1:11" x14ac:dyDescent="0.3">
      <c r="A8" s="1" t="s">
        <v>31</v>
      </c>
      <c r="B8" s="1">
        <v>5</v>
      </c>
      <c r="C8" s="1">
        <v>62</v>
      </c>
      <c r="E8" s="1" t="s">
        <v>31</v>
      </c>
      <c r="F8" s="1">
        <v>5</v>
      </c>
      <c r="G8" s="1">
        <v>58.5</v>
      </c>
      <c r="I8" s="1" t="s">
        <v>44</v>
      </c>
      <c r="J8" s="1">
        <v>5</v>
      </c>
      <c r="K8" s="1">
        <v>58.1</v>
      </c>
    </row>
    <row r="9" spans="1:11" x14ac:dyDescent="0.3">
      <c r="A9" s="2" t="s">
        <v>34</v>
      </c>
      <c r="B9" s="1">
        <v>6</v>
      </c>
      <c r="C9" s="1">
        <v>61.5</v>
      </c>
      <c r="E9" s="2" t="s">
        <v>34</v>
      </c>
      <c r="F9" s="1">
        <v>6</v>
      </c>
      <c r="G9" s="1">
        <v>58.5</v>
      </c>
      <c r="I9" s="2" t="s">
        <v>34</v>
      </c>
      <c r="J9" s="1">
        <v>6</v>
      </c>
      <c r="K9" s="1">
        <v>58</v>
      </c>
    </row>
    <row r="10" spans="1:11" x14ac:dyDescent="0.3">
      <c r="B10" s="1">
        <v>7</v>
      </c>
      <c r="C10" s="1">
        <v>61.3</v>
      </c>
      <c r="F10" s="1">
        <v>7</v>
      </c>
      <c r="G10" s="1">
        <v>58.4</v>
      </c>
      <c r="J10" s="1">
        <v>7</v>
      </c>
      <c r="K10" s="1">
        <v>57.6</v>
      </c>
    </row>
    <row r="11" spans="1:11" x14ac:dyDescent="0.3">
      <c r="B11" s="1">
        <v>8</v>
      </c>
      <c r="C11" s="1">
        <v>61</v>
      </c>
      <c r="F11" s="1">
        <v>8</v>
      </c>
      <c r="G11" s="1">
        <v>58.3</v>
      </c>
      <c r="J11" s="1">
        <v>8</v>
      </c>
      <c r="K11" s="1">
        <v>57</v>
      </c>
    </row>
    <row r="12" spans="1:11" x14ac:dyDescent="0.3">
      <c r="B12" s="1">
        <v>9</v>
      </c>
      <c r="C12" s="1">
        <v>60.8</v>
      </c>
      <c r="F12" s="1">
        <v>9</v>
      </c>
      <c r="G12" s="1">
        <v>58.1</v>
      </c>
      <c r="J12" s="1">
        <v>9</v>
      </c>
      <c r="K12" s="1">
        <v>57</v>
      </c>
    </row>
    <row r="13" spans="1:11" x14ac:dyDescent="0.3">
      <c r="B13" s="1">
        <v>10</v>
      </c>
      <c r="C13" s="1">
        <v>60.7</v>
      </c>
      <c r="F13" s="1">
        <v>10</v>
      </c>
      <c r="G13" s="1">
        <v>58</v>
      </c>
      <c r="J13" s="1">
        <v>10</v>
      </c>
      <c r="K13" s="1">
        <v>56.9</v>
      </c>
    </row>
    <row r="14" spans="1:11" x14ac:dyDescent="0.3">
      <c r="B14" s="1">
        <v>11</v>
      </c>
      <c r="C14" s="1">
        <v>60.5</v>
      </c>
      <c r="F14" s="1">
        <v>11</v>
      </c>
      <c r="G14" s="1">
        <v>57.9</v>
      </c>
      <c r="J14" s="1">
        <v>11</v>
      </c>
      <c r="K14" s="1">
        <v>56.6</v>
      </c>
    </row>
    <row r="15" spans="1:11" x14ac:dyDescent="0.3">
      <c r="B15" s="1">
        <v>12</v>
      </c>
      <c r="C15" s="1">
        <v>60.5</v>
      </c>
      <c r="F15" s="1">
        <v>12</v>
      </c>
      <c r="G15" s="1">
        <v>57.7</v>
      </c>
      <c r="J15" s="1">
        <v>12</v>
      </c>
      <c r="K15" s="1">
        <v>56.5</v>
      </c>
    </row>
    <row r="16" spans="1:11" x14ac:dyDescent="0.3">
      <c r="B16" s="1">
        <v>13</v>
      </c>
      <c r="C16" s="1">
        <v>60.4</v>
      </c>
      <c r="F16" s="1">
        <v>13</v>
      </c>
      <c r="G16" s="1">
        <v>57.7</v>
      </c>
      <c r="J16" s="1">
        <v>13</v>
      </c>
      <c r="K16" s="1">
        <v>56.3</v>
      </c>
    </row>
    <row r="17" spans="2:11" x14ac:dyDescent="0.3">
      <c r="B17" s="1">
        <v>14</v>
      </c>
      <c r="C17" s="1">
        <v>60.3</v>
      </c>
      <c r="F17" s="1">
        <v>14</v>
      </c>
      <c r="G17" s="1">
        <v>57.6</v>
      </c>
      <c r="J17" s="1">
        <v>14</v>
      </c>
      <c r="K17" s="1">
        <v>56.1</v>
      </c>
    </row>
    <row r="18" spans="2:11" x14ac:dyDescent="0.3">
      <c r="B18" s="1">
        <v>15</v>
      </c>
      <c r="C18" s="1">
        <v>60.2</v>
      </c>
      <c r="F18" s="1">
        <v>15</v>
      </c>
      <c r="G18" s="1">
        <v>57.5</v>
      </c>
      <c r="J18" s="1">
        <v>15</v>
      </c>
      <c r="K18" s="1">
        <v>56</v>
      </c>
    </row>
    <row r="19" spans="2:11" x14ac:dyDescent="0.3">
      <c r="B19" s="1">
        <v>16</v>
      </c>
      <c r="C19" s="1">
        <v>59.5</v>
      </c>
      <c r="F19" s="1">
        <v>16</v>
      </c>
      <c r="G19" s="1">
        <v>57.5</v>
      </c>
      <c r="J19" s="1">
        <v>16</v>
      </c>
      <c r="K19" s="1">
        <v>55.9</v>
      </c>
    </row>
    <row r="20" spans="2:11" x14ac:dyDescent="0.3">
      <c r="B20" s="1">
        <v>17</v>
      </c>
      <c r="C20" s="1">
        <v>59</v>
      </c>
      <c r="F20" s="1">
        <v>17</v>
      </c>
      <c r="G20" s="1">
        <v>57.5</v>
      </c>
      <c r="J20" s="1">
        <v>17</v>
      </c>
      <c r="K20" s="1">
        <v>55.8</v>
      </c>
    </row>
    <row r="21" spans="2:11" x14ac:dyDescent="0.3">
      <c r="B21" s="1">
        <v>18</v>
      </c>
      <c r="C21" s="1">
        <v>59</v>
      </c>
      <c r="F21" s="1">
        <v>18</v>
      </c>
      <c r="G21" s="1">
        <v>57.5</v>
      </c>
      <c r="J21" s="1">
        <v>18</v>
      </c>
      <c r="K21" s="1">
        <v>55.7</v>
      </c>
    </row>
    <row r="22" spans="2:11" x14ac:dyDescent="0.3">
      <c r="B22" s="1">
        <v>19</v>
      </c>
      <c r="C22" s="1">
        <v>59</v>
      </c>
      <c r="F22" s="1">
        <v>19</v>
      </c>
      <c r="G22" s="1">
        <v>57.5</v>
      </c>
      <c r="J22" s="1">
        <v>19</v>
      </c>
      <c r="K22" s="1">
        <v>55.6</v>
      </c>
    </row>
    <row r="23" spans="2:11" x14ac:dyDescent="0.3">
      <c r="B23" s="1">
        <v>20</v>
      </c>
      <c r="C23" s="1">
        <v>58.9</v>
      </c>
      <c r="F23" s="1">
        <v>20</v>
      </c>
      <c r="G23" s="1">
        <v>57.5</v>
      </c>
      <c r="J23" s="1">
        <v>20</v>
      </c>
      <c r="K23" s="1">
        <v>55.6</v>
      </c>
    </row>
    <row r="24" spans="2:11" x14ac:dyDescent="0.3">
      <c r="B24" s="1">
        <v>21</v>
      </c>
      <c r="C24" s="1">
        <v>58.8</v>
      </c>
      <c r="F24" s="1">
        <v>21</v>
      </c>
      <c r="G24" s="1">
        <v>57.5</v>
      </c>
      <c r="J24" s="1">
        <v>21</v>
      </c>
      <c r="K24" s="1">
        <v>55.4</v>
      </c>
    </row>
    <row r="25" spans="2:11" x14ac:dyDescent="0.3">
      <c r="B25" s="1">
        <v>22</v>
      </c>
      <c r="C25" s="1">
        <v>58.7</v>
      </c>
      <c r="F25" s="1">
        <v>22</v>
      </c>
      <c r="G25" s="1">
        <v>57.4</v>
      </c>
      <c r="J25" s="1">
        <v>22</v>
      </c>
      <c r="K25" s="1">
        <v>55.3</v>
      </c>
    </row>
    <row r="26" spans="2:11" x14ac:dyDescent="0.3">
      <c r="B26" s="1">
        <v>23</v>
      </c>
      <c r="C26" s="1">
        <v>58.6</v>
      </c>
      <c r="F26" s="1">
        <v>23</v>
      </c>
      <c r="G26" s="1">
        <v>57.4</v>
      </c>
      <c r="J26" s="1">
        <v>23</v>
      </c>
      <c r="K26" s="1">
        <v>55.1</v>
      </c>
    </row>
    <row r="27" spans="2:11" x14ac:dyDescent="0.3">
      <c r="B27" s="1">
        <v>24</v>
      </c>
      <c r="C27" s="1">
        <v>58.6</v>
      </c>
      <c r="F27" s="1">
        <v>24</v>
      </c>
      <c r="G27" s="1">
        <v>57.4</v>
      </c>
      <c r="J27" s="1">
        <v>24</v>
      </c>
      <c r="K27" s="1">
        <v>54.9</v>
      </c>
    </row>
    <row r="28" spans="2:11" x14ac:dyDescent="0.3">
      <c r="B28" s="1">
        <v>25</v>
      </c>
      <c r="C28" s="1">
        <v>58.5</v>
      </c>
      <c r="F28" s="1">
        <v>25</v>
      </c>
      <c r="G28" s="1">
        <v>57.3</v>
      </c>
      <c r="J28" s="1">
        <v>25</v>
      </c>
      <c r="K28" s="1">
        <v>54.8</v>
      </c>
    </row>
    <row r="29" spans="2:11" x14ac:dyDescent="0.3">
      <c r="B29" s="1">
        <v>26</v>
      </c>
      <c r="C29" s="1">
        <v>58.5</v>
      </c>
      <c r="F29" s="1">
        <v>26</v>
      </c>
      <c r="G29" s="1">
        <v>57.2</v>
      </c>
      <c r="J29" s="1">
        <v>26</v>
      </c>
      <c r="K29" s="1">
        <v>54.7</v>
      </c>
    </row>
    <row r="30" spans="2:11" x14ac:dyDescent="0.3">
      <c r="B30" s="1">
        <v>27</v>
      </c>
      <c r="C30" s="1">
        <v>58.5</v>
      </c>
      <c r="F30" s="1">
        <v>27</v>
      </c>
      <c r="G30" s="1">
        <v>57.2</v>
      </c>
      <c r="J30" s="1">
        <v>27</v>
      </c>
      <c r="K30" s="1">
        <v>54.5</v>
      </c>
    </row>
    <row r="31" spans="2:11" x14ac:dyDescent="0.3">
      <c r="B31" s="1">
        <v>28</v>
      </c>
      <c r="C31" s="1">
        <v>58.5</v>
      </c>
      <c r="F31" s="1">
        <v>28</v>
      </c>
      <c r="G31" s="1">
        <v>57.1</v>
      </c>
      <c r="J31" s="1">
        <v>28</v>
      </c>
      <c r="K31" s="1">
        <v>54.2</v>
      </c>
    </row>
    <row r="32" spans="2:11" x14ac:dyDescent="0.3">
      <c r="B32" s="1">
        <v>29</v>
      </c>
      <c r="C32" s="1">
        <v>58.5</v>
      </c>
      <c r="F32" s="1">
        <v>29</v>
      </c>
      <c r="G32" s="1">
        <v>57.1</v>
      </c>
      <c r="J32" s="1">
        <v>29</v>
      </c>
      <c r="K32" s="1">
        <v>54</v>
      </c>
    </row>
    <row r="33" spans="1:11" x14ac:dyDescent="0.3">
      <c r="B33" s="1">
        <v>30</v>
      </c>
      <c r="C33" s="1">
        <v>58.5</v>
      </c>
      <c r="F33" s="1">
        <v>30</v>
      </c>
      <c r="G33" s="1">
        <v>57</v>
      </c>
      <c r="J33" s="1">
        <v>30</v>
      </c>
      <c r="K33" s="1">
        <v>53.9</v>
      </c>
    </row>
    <row r="34" spans="1:11" x14ac:dyDescent="0.3">
      <c r="B34" s="1">
        <v>33</v>
      </c>
      <c r="C34" s="1">
        <v>58.5</v>
      </c>
      <c r="F34" s="1">
        <v>33</v>
      </c>
      <c r="G34" s="1">
        <v>56.7</v>
      </c>
      <c r="J34" s="1">
        <v>33</v>
      </c>
      <c r="K34" s="1">
        <v>53.7</v>
      </c>
    </row>
    <row r="35" spans="1:11" x14ac:dyDescent="0.3">
      <c r="B35" s="1">
        <v>36</v>
      </c>
      <c r="C35" s="1">
        <v>58.5</v>
      </c>
      <c r="F35" s="1">
        <v>36</v>
      </c>
      <c r="G35" s="1">
        <v>56.4</v>
      </c>
      <c r="J35" s="1">
        <v>36</v>
      </c>
      <c r="K35" s="1">
        <v>53.5</v>
      </c>
    </row>
    <row r="36" spans="1:11" x14ac:dyDescent="0.3">
      <c r="B36" s="1">
        <v>39</v>
      </c>
      <c r="C36" s="1">
        <v>58.4</v>
      </c>
      <c r="F36" s="1">
        <v>39</v>
      </c>
      <c r="G36" s="1">
        <v>56.1</v>
      </c>
      <c r="J36" s="1">
        <v>39</v>
      </c>
      <c r="K36" s="1">
        <v>53</v>
      </c>
    </row>
    <row r="37" spans="1:11" x14ac:dyDescent="0.3">
      <c r="B37" s="1">
        <v>42</v>
      </c>
      <c r="C37" s="1">
        <v>58.4</v>
      </c>
      <c r="F37" s="1">
        <v>42</v>
      </c>
      <c r="G37" s="1">
        <v>56</v>
      </c>
      <c r="J37" s="1">
        <v>42</v>
      </c>
      <c r="K37" s="1">
        <v>52.9</v>
      </c>
    </row>
    <row r="38" spans="1:11" x14ac:dyDescent="0.3">
      <c r="B38" s="1">
        <v>45</v>
      </c>
      <c r="C38" s="1">
        <v>58.4</v>
      </c>
      <c r="F38" s="1">
        <v>45</v>
      </c>
      <c r="G38" s="1">
        <v>56</v>
      </c>
      <c r="J38" s="1">
        <v>45</v>
      </c>
      <c r="K38" s="1">
        <v>52.7</v>
      </c>
    </row>
    <row r="40" spans="1:11" x14ac:dyDescent="0.3">
      <c r="A40" t="s">
        <v>77</v>
      </c>
      <c r="B40">
        <f>C2</f>
        <v>58.5</v>
      </c>
      <c r="F40">
        <f>G2</f>
        <v>53</v>
      </c>
      <c r="J40">
        <f>K2</f>
        <v>49</v>
      </c>
    </row>
    <row r="41" spans="1:11" x14ac:dyDescent="0.3">
      <c r="A41" t="s">
        <v>78</v>
      </c>
      <c r="B41">
        <f>150-B40</f>
        <v>91.5</v>
      </c>
      <c r="F41">
        <f>150-F40</f>
        <v>97</v>
      </c>
      <c r="J41">
        <f>150-J40</f>
        <v>101</v>
      </c>
    </row>
    <row r="42" spans="1:11" x14ac:dyDescent="0.3">
      <c r="A42" t="s">
        <v>82</v>
      </c>
      <c r="B42">
        <f>C3</f>
        <v>63</v>
      </c>
      <c r="F42">
        <f>G3</f>
        <v>60</v>
      </c>
      <c r="J42">
        <f>K3</f>
        <v>60</v>
      </c>
    </row>
    <row r="43" spans="1:11" x14ac:dyDescent="0.3">
      <c r="A43" t="s">
        <v>84</v>
      </c>
      <c r="B43">
        <f>C38</f>
        <v>58.4</v>
      </c>
      <c r="F43">
        <f>G38</f>
        <v>56</v>
      </c>
      <c r="J43">
        <f>K38</f>
        <v>52.7</v>
      </c>
    </row>
    <row r="44" spans="1:11" x14ac:dyDescent="0.3">
      <c r="A44" t="s">
        <v>86</v>
      </c>
      <c r="B44">
        <f>B38</f>
        <v>45</v>
      </c>
      <c r="F44">
        <f>F38</f>
        <v>45</v>
      </c>
      <c r="J44">
        <f>J38</f>
        <v>45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opLeftCell="A22" workbookViewId="0">
      <selection activeCell="C5" sqref="C5"/>
    </sheetView>
  </sheetViews>
  <sheetFormatPr defaultRowHeight="14.4" x14ac:dyDescent="0.3"/>
  <cols>
    <col min="1" max="1" width="36.44140625" bestFit="1" customWidth="1"/>
    <col min="2" max="2" width="15.5546875" bestFit="1" customWidth="1"/>
    <col min="3" max="3" width="19.33203125" bestFit="1" customWidth="1"/>
    <col min="5" max="5" width="35.44140625" bestFit="1" customWidth="1"/>
    <col min="6" max="6" width="15.5546875" bestFit="1" customWidth="1"/>
    <col min="7" max="7" width="19.33203125" bestFit="1" customWidth="1"/>
    <col min="9" max="9" width="35.44140625" bestFit="1" customWidth="1"/>
    <col min="10" max="10" width="15.5546875" bestFit="1" customWidth="1"/>
    <col min="11" max="11" width="19.33203125" bestFit="1" customWidth="1"/>
  </cols>
  <sheetData>
    <row r="1" spans="1:11" x14ac:dyDescent="0.3">
      <c r="A1" s="1" t="s">
        <v>0</v>
      </c>
      <c r="B1" s="1" t="s">
        <v>7</v>
      </c>
      <c r="C1" s="1" t="s">
        <v>8</v>
      </c>
      <c r="E1" s="1" t="s">
        <v>0</v>
      </c>
      <c r="F1" s="1" t="s">
        <v>7</v>
      </c>
      <c r="G1" s="1" t="s">
        <v>8</v>
      </c>
      <c r="I1" s="1" t="s">
        <v>0</v>
      </c>
      <c r="J1" s="1" t="s">
        <v>7</v>
      </c>
      <c r="K1" s="1" t="s">
        <v>8</v>
      </c>
    </row>
    <row r="2" spans="1:11" x14ac:dyDescent="0.3">
      <c r="A2" s="1" t="s">
        <v>46</v>
      </c>
      <c r="B2" s="1" t="s">
        <v>9</v>
      </c>
      <c r="C2" s="1">
        <v>26.5</v>
      </c>
      <c r="E2" s="1" t="s">
        <v>46</v>
      </c>
      <c r="F2" s="1" t="s">
        <v>9</v>
      </c>
      <c r="G2" s="1">
        <v>21.4</v>
      </c>
      <c r="I2" s="1" t="s">
        <v>46</v>
      </c>
      <c r="J2" s="1" t="s">
        <v>9</v>
      </c>
      <c r="K2" s="1">
        <v>26.4</v>
      </c>
    </row>
    <row r="3" spans="1:11" x14ac:dyDescent="0.3">
      <c r="A3" s="1" t="s">
        <v>47</v>
      </c>
      <c r="B3" s="1" t="s">
        <v>10</v>
      </c>
      <c r="C3" s="1">
        <v>43.5</v>
      </c>
      <c r="E3" s="1" t="s">
        <v>47</v>
      </c>
      <c r="F3" s="1" t="s">
        <v>10</v>
      </c>
      <c r="G3" s="1">
        <v>37.5</v>
      </c>
      <c r="I3" s="1" t="s">
        <v>47</v>
      </c>
      <c r="J3" s="1" t="s">
        <v>10</v>
      </c>
      <c r="K3" s="1">
        <v>37</v>
      </c>
    </row>
    <row r="4" spans="1:11" x14ac:dyDescent="0.3">
      <c r="A4" s="1"/>
      <c r="B4" s="1">
        <v>0</v>
      </c>
      <c r="C4" s="1">
        <v>43.5</v>
      </c>
      <c r="E4" s="1"/>
      <c r="F4" s="1">
        <v>0</v>
      </c>
      <c r="G4" s="1">
        <v>37.5</v>
      </c>
      <c r="I4" s="1"/>
      <c r="J4" s="1">
        <v>0</v>
      </c>
      <c r="K4" s="1">
        <v>37</v>
      </c>
    </row>
    <row r="5" spans="1:11" x14ac:dyDescent="0.3">
      <c r="A5" s="1" t="s">
        <v>48</v>
      </c>
      <c r="B5" s="1">
        <v>1</v>
      </c>
      <c r="C5" s="1">
        <v>43.3</v>
      </c>
      <c r="E5" s="1" t="s">
        <v>48</v>
      </c>
      <c r="F5" s="1">
        <v>1</v>
      </c>
      <c r="G5" s="1">
        <v>37</v>
      </c>
      <c r="I5" s="1" t="s">
        <v>48</v>
      </c>
      <c r="J5" s="1">
        <v>1</v>
      </c>
      <c r="K5" s="1">
        <v>34.5</v>
      </c>
    </row>
    <row r="6" spans="1:11" x14ac:dyDescent="0.3">
      <c r="A6" s="1" t="s">
        <v>3</v>
      </c>
      <c r="B6" s="1">
        <v>2</v>
      </c>
      <c r="C6" s="1">
        <v>42.5</v>
      </c>
      <c r="E6" s="1" t="s">
        <v>11</v>
      </c>
      <c r="F6" s="1">
        <v>2</v>
      </c>
      <c r="G6" s="1">
        <v>35.799999999999997</v>
      </c>
      <c r="I6" s="1" t="s">
        <v>11</v>
      </c>
      <c r="J6" s="1">
        <v>2</v>
      </c>
      <c r="K6" s="1">
        <v>32.4</v>
      </c>
    </row>
    <row r="7" spans="1:11" x14ac:dyDescent="0.3">
      <c r="A7" s="1" t="s">
        <v>49</v>
      </c>
      <c r="B7" s="1">
        <v>3</v>
      </c>
      <c r="C7" s="1">
        <v>41.6</v>
      </c>
      <c r="E7" s="1" t="s">
        <v>51</v>
      </c>
      <c r="F7" s="1">
        <v>3</v>
      </c>
      <c r="G7" s="1">
        <v>34.9</v>
      </c>
      <c r="I7" s="1" t="s">
        <v>53</v>
      </c>
      <c r="J7" s="1">
        <v>3</v>
      </c>
      <c r="K7" s="1">
        <v>31.3</v>
      </c>
    </row>
    <row r="8" spans="1:11" x14ac:dyDescent="0.3">
      <c r="A8" s="1" t="s">
        <v>31</v>
      </c>
      <c r="B8" s="1">
        <v>4</v>
      </c>
      <c r="C8" s="1">
        <v>40.5</v>
      </c>
      <c r="E8" s="1" t="s">
        <v>52</v>
      </c>
      <c r="F8" s="1">
        <v>4</v>
      </c>
      <c r="G8" s="1">
        <v>33.799999999999997</v>
      </c>
      <c r="I8" s="1" t="s">
        <v>30</v>
      </c>
      <c r="J8" s="1">
        <v>4</v>
      </c>
      <c r="K8" s="1">
        <v>29.9</v>
      </c>
    </row>
    <row r="9" spans="1:11" x14ac:dyDescent="0.3">
      <c r="A9" s="2" t="s">
        <v>50</v>
      </c>
      <c r="B9" s="1">
        <v>5</v>
      </c>
      <c r="C9" s="1">
        <v>39.4</v>
      </c>
      <c r="E9" s="2" t="s">
        <v>50</v>
      </c>
      <c r="F9" s="1">
        <v>5</v>
      </c>
      <c r="G9" s="1">
        <v>33</v>
      </c>
      <c r="I9" s="2" t="s">
        <v>50</v>
      </c>
      <c r="J9" s="1">
        <v>5</v>
      </c>
      <c r="K9" s="1">
        <v>29.2</v>
      </c>
    </row>
    <row r="10" spans="1:11" x14ac:dyDescent="0.3">
      <c r="B10" s="1">
        <v>6</v>
      </c>
      <c r="C10" s="1">
        <v>38.5</v>
      </c>
      <c r="F10" s="1">
        <v>6</v>
      </c>
      <c r="G10" s="1">
        <v>32</v>
      </c>
      <c r="J10" s="1">
        <v>6</v>
      </c>
      <c r="K10" s="1">
        <v>28.2</v>
      </c>
    </row>
    <row r="11" spans="1:11" x14ac:dyDescent="0.3">
      <c r="B11" s="1">
        <v>7</v>
      </c>
      <c r="C11" s="1">
        <v>38.1</v>
      </c>
      <c r="F11" s="1">
        <v>7</v>
      </c>
      <c r="G11" s="1">
        <v>31.2</v>
      </c>
      <c r="J11" s="1">
        <v>7</v>
      </c>
      <c r="K11" s="1">
        <v>28</v>
      </c>
    </row>
    <row r="12" spans="1:11" x14ac:dyDescent="0.3">
      <c r="B12" s="1">
        <v>8</v>
      </c>
      <c r="C12" s="1">
        <v>37.299999999999997</v>
      </c>
      <c r="F12" s="1">
        <v>8</v>
      </c>
      <c r="G12" s="1">
        <v>30.3</v>
      </c>
      <c r="J12" s="1">
        <v>8</v>
      </c>
      <c r="K12" s="1">
        <v>27.7</v>
      </c>
    </row>
    <row r="13" spans="1:11" x14ac:dyDescent="0.3">
      <c r="B13" s="1">
        <v>9</v>
      </c>
      <c r="C13" s="1">
        <v>36.4</v>
      </c>
      <c r="F13" s="1">
        <v>9</v>
      </c>
      <c r="G13" s="1">
        <v>29.8</v>
      </c>
      <c r="J13" s="1">
        <v>9</v>
      </c>
      <c r="K13" s="1">
        <v>27.2</v>
      </c>
    </row>
    <row r="14" spans="1:11" x14ac:dyDescent="0.3">
      <c r="B14" s="1">
        <v>10</v>
      </c>
      <c r="C14" s="1">
        <v>35.799999999999997</v>
      </c>
      <c r="F14" s="1">
        <v>10</v>
      </c>
      <c r="G14" s="1">
        <v>29</v>
      </c>
      <c r="J14" s="1">
        <v>10</v>
      </c>
      <c r="K14" s="1">
        <v>27.1</v>
      </c>
    </row>
    <row r="15" spans="1:11" x14ac:dyDescent="0.3">
      <c r="B15" s="1">
        <v>11</v>
      </c>
      <c r="C15" s="1">
        <v>35.1</v>
      </c>
      <c r="F15" s="1">
        <v>11</v>
      </c>
      <c r="G15" s="1">
        <v>28.3</v>
      </c>
      <c r="J15" s="1">
        <v>11</v>
      </c>
      <c r="K15" s="1">
        <v>27</v>
      </c>
    </row>
    <row r="16" spans="1:11" x14ac:dyDescent="0.3">
      <c r="B16" s="1">
        <v>12</v>
      </c>
      <c r="C16" s="1">
        <v>34.200000000000003</v>
      </c>
      <c r="F16" s="1">
        <v>12</v>
      </c>
      <c r="G16" s="1">
        <v>27.7</v>
      </c>
      <c r="J16" s="1">
        <v>12</v>
      </c>
      <c r="K16" s="1">
        <v>26.7</v>
      </c>
    </row>
    <row r="17" spans="2:11" x14ac:dyDescent="0.3">
      <c r="B17" s="1">
        <v>13</v>
      </c>
      <c r="C17" s="1">
        <v>34</v>
      </c>
      <c r="F17" s="1">
        <v>13</v>
      </c>
      <c r="G17" s="1">
        <v>27.1</v>
      </c>
      <c r="J17" s="1">
        <v>13</v>
      </c>
      <c r="K17" s="1">
        <v>26.5</v>
      </c>
    </row>
    <row r="18" spans="2:11" x14ac:dyDescent="0.3">
      <c r="B18" s="1">
        <v>14</v>
      </c>
      <c r="C18" s="1">
        <v>33.299999999999997</v>
      </c>
      <c r="F18" s="1">
        <v>14</v>
      </c>
      <c r="G18" s="1">
        <v>26.6</v>
      </c>
      <c r="J18" s="1">
        <v>14</v>
      </c>
      <c r="K18" s="1">
        <v>26.4</v>
      </c>
    </row>
    <row r="19" spans="2:11" x14ac:dyDescent="0.3">
      <c r="B19" s="1">
        <v>15</v>
      </c>
      <c r="C19" s="1">
        <v>33</v>
      </c>
      <c r="F19" s="1">
        <v>15</v>
      </c>
      <c r="G19" s="1">
        <v>26.2</v>
      </c>
      <c r="J19" s="1">
        <v>15</v>
      </c>
      <c r="K19" s="1"/>
    </row>
    <row r="20" spans="2:11" x14ac:dyDescent="0.3">
      <c r="B20" s="1">
        <v>16</v>
      </c>
      <c r="C20" s="1">
        <v>32.200000000000003</v>
      </c>
      <c r="F20" s="1">
        <v>16</v>
      </c>
      <c r="G20" s="1">
        <v>25.7</v>
      </c>
      <c r="J20" s="1">
        <v>16</v>
      </c>
      <c r="K20" s="1"/>
    </row>
    <row r="21" spans="2:11" x14ac:dyDescent="0.3">
      <c r="B21" s="1">
        <v>17</v>
      </c>
      <c r="C21" s="1">
        <v>31.8</v>
      </c>
      <c r="F21" s="1">
        <v>17</v>
      </c>
      <c r="G21" s="1">
        <v>24.8</v>
      </c>
      <c r="J21" s="1">
        <v>17</v>
      </c>
      <c r="K21" s="1"/>
    </row>
    <row r="22" spans="2:11" x14ac:dyDescent="0.3">
      <c r="B22" s="1">
        <v>18</v>
      </c>
      <c r="C22" s="1">
        <v>31.5</v>
      </c>
      <c r="F22" s="1">
        <v>18</v>
      </c>
      <c r="G22" s="1">
        <v>24.2</v>
      </c>
      <c r="J22" s="1">
        <v>18</v>
      </c>
      <c r="K22" s="1"/>
    </row>
    <row r="23" spans="2:11" x14ac:dyDescent="0.3">
      <c r="B23" s="1">
        <v>19</v>
      </c>
      <c r="C23" s="1">
        <v>31.1</v>
      </c>
      <c r="F23" s="1">
        <v>19</v>
      </c>
      <c r="G23" s="1">
        <v>23.6</v>
      </c>
      <c r="J23" s="1">
        <v>19</v>
      </c>
      <c r="K23" s="1"/>
    </row>
    <row r="24" spans="2:11" x14ac:dyDescent="0.3">
      <c r="B24" s="1">
        <v>20</v>
      </c>
      <c r="C24" s="1">
        <v>30.6</v>
      </c>
      <c r="F24" s="1">
        <v>20</v>
      </c>
      <c r="G24" s="1">
        <v>23</v>
      </c>
      <c r="J24" s="1">
        <v>20</v>
      </c>
      <c r="K24" s="1"/>
    </row>
    <row r="25" spans="2:11" x14ac:dyDescent="0.3">
      <c r="B25" s="1">
        <v>21</v>
      </c>
      <c r="C25" s="1">
        <v>30.3</v>
      </c>
      <c r="F25" s="1">
        <v>21</v>
      </c>
      <c r="G25" s="1">
        <v>22.8</v>
      </c>
      <c r="J25" s="1">
        <v>21</v>
      </c>
      <c r="K25" s="1"/>
    </row>
    <row r="26" spans="2:11" x14ac:dyDescent="0.3">
      <c r="B26" s="1">
        <v>22</v>
      </c>
      <c r="C26" s="1">
        <v>30</v>
      </c>
      <c r="F26" s="1">
        <v>22</v>
      </c>
      <c r="G26" s="1">
        <v>22.4</v>
      </c>
      <c r="J26" s="1">
        <v>22</v>
      </c>
      <c r="K26" s="1"/>
    </row>
    <row r="27" spans="2:11" x14ac:dyDescent="0.3">
      <c r="B27" s="1">
        <v>23</v>
      </c>
      <c r="C27" s="1">
        <v>29.7</v>
      </c>
      <c r="F27" s="1">
        <v>23</v>
      </c>
      <c r="G27" s="1">
        <v>22.2</v>
      </c>
      <c r="J27" s="1">
        <v>23</v>
      </c>
      <c r="K27" s="1"/>
    </row>
    <row r="28" spans="2:11" x14ac:dyDescent="0.3">
      <c r="B28" s="1">
        <v>24</v>
      </c>
      <c r="C28" s="1">
        <v>29.4</v>
      </c>
      <c r="F28" s="1">
        <v>24</v>
      </c>
      <c r="G28" s="1">
        <v>21.7</v>
      </c>
      <c r="J28" s="1">
        <v>24</v>
      </c>
      <c r="K28" s="1"/>
    </row>
    <row r="29" spans="2:11" x14ac:dyDescent="0.3">
      <c r="B29" s="1">
        <v>25</v>
      </c>
      <c r="C29" s="1">
        <v>29</v>
      </c>
      <c r="F29" s="1">
        <v>25</v>
      </c>
      <c r="G29" s="1">
        <v>21.4</v>
      </c>
      <c r="J29" s="1">
        <v>25</v>
      </c>
      <c r="K29" s="1"/>
    </row>
    <row r="30" spans="2:11" x14ac:dyDescent="0.3">
      <c r="B30" s="1">
        <v>26</v>
      </c>
      <c r="C30" s="1">
        <v>28.6</v>
      </c>
      <c r="F30" s="1">
        <v>26</v>
      </c>
      <c r="G30" s="1"/>
      <c r="J30" s="1">
        <v>26</v>
      </c>
      <c r="K30" s="1"/>
    </row>
    <row r="31" spans="2:11" x14ac:dyDescent="0.3">
      <c r="B31" s="1">
        <v>27</v>
      </c>
      <c r="C31" s="1">
        <v>28.2</v>
      </c>
      <c r="F31" s="1">
        <v>27</v>
      </c>
      <c r="G31" s="1"/>
      <c r="J31" s="1">
        <v>27</v>
      </c>
      <c r="K31" s="1"/>
    </row>
    <row r="32" spans="2:11" x14ac:dyDescent="0.3">
      <c r="B32" s="1">
        <v>28</v>
      </c>
      <c r="C32" s="1">
        <v>27.9</v>
      </c>
      <c r="F32" s="1">
        <v>28</v>
      </c>
      <c r="G32" s="1"/>
      <c r="J32" s="1">
        <v>28</v>
      </c>
      <c r="K32" s="1"/>
    </row>
    <row r="33" spans="1:11" x14ac:dyDescent="0.3">
      <c r="B33" s="1">
        <v>29</v>
      </c>
      <c r="C33" s="1">
        <v>27.5</v>
      </c>
      <c r="F33" s="1">
        <v>29</v>
      </c>
      <c r="G33" s="1"/>
      <c r="J33" s="1">
        <v>29</v>
      </c>
      <c r="K33" s="1"/>
    </row>
    <row r="34" spans="1:11" x14ac:dyDescent="0.3">
      <c r="B34" s="1">
        <v>30</v>
      </c>
      <c r="C34" s="1">
        <v>27.2</v>
      </c>
      <c r="F34" s="1">
        <v>30</v>
      </c>
      <c r="G34" s="1"/>
      <c r="J34" s="1">
        <v>30</v>
      </c>
      <c r="K34" s="1"/>
    </row>
    <row r="35" spans="1:11" x14ac:dyDescent="0.3">
      <c r="B35" s="1">
        <v>33</v>
      </c>
      <c r="C35" s="1">
        <v>26.5</v>
      </c>
      <c r="F35" s="1">
        <v>33</v>
      </c>
      <c r="G35" s="1"/>
      <c r="J35" s="1">
        <v>33</v>
      </c>
      <c r="K35" s="1"/>
    </row>
    <row r="36" spans="1:11" x14ac:dyDescent="0.3">
      <c r="B36" s="1">
        <v>36</v>
      </c>
      <c r="C36" s="1"/>
      <c r="F36" s="1">
        <v>36</v>
      </c>
      <c r="G36" s="1"/>
      <c r="J36" s="1">
        <v>36</v>
      </c>
      <c r="K36" s="1"/>
    </row>
    <row r="37" spans="1:11" x14ac:dyDescent="0.3">
      <c r="B37" s="1">
        <v>39</v>
      </c>
      <c r="C37" s="1"/>
      <c r="F37" s="1">
        <v>39</v>
      </c>
      <c r="G37" s="1"/>
      <c r="J37" s="1">
        <v>39</v>
      </c>
      <c r="K37" s="1"/>
    </row>
    <row r="38" spans="1:11" x14ac:dyDescent="0.3">
      <c r="B38" s="1">
        <v>42</v>
      </c>
      <c r="C38" s="1"/>
      <c r="F38" s="1">
        <v>42</v>
      </c>
      <c r="G38" s="1"/>
      <c r="J38" s="1">
        <v>42</v>
      </c>
      <c r="K38" s="1"/>
    </row>
    <row r="39" spans="1:11" x14ac:dyDescent="0.3">
      <c r="B39" s="1">
        <v>45</v>
      </c>
      <c r="C39" s="1"/>
      <c r="F39" s="1">
        <v>45</v>
      </c>
      <c r="G39" s="1"/>
      <c r="J39" s="1">
        <v>45</v>
      </c>
      <c r="K39" s="1"/>
    </row>
    <row r="41" spans="1:11" x14ac:dyDescent="0.3">
      <c r="A41" t="s">
        <v>77</v>
      </c>
      <c r="B41">
        <f>C2</f>
        <v>26.5</v>
      </c>
      <c r="F41">
        <f>G2</f>
        <v>21.4</v>
      </c>
      <c r="J41">
        <f>K2</f>
        <v>26.4</v>
      </c>
    </row>
    <row r="42" spans="1:11" x14ac:dyDescent="0.3">
      <c r="A42" t="s">
        <v>78</v>
      </c>
      <c r="B42">
        <f>150-B41</f>
        <v>123.5</v>
      </c>
      <c r="F42">
        <f>150-F41</f>
        <v>128.6</v>
      </c>
      <c r="J42">
        <f>150-J41</f>
        <v>123.6</v>
      </c>
    </row>
    <row r="43" spans="1:11" x14ac:dyDescent="0.3">
      <c r="A43" t="s">
        <v>82</v>
      </c>
      <c r="B43">
        <f>C4</f>
        <v>43.5</v>
      </c>
      <c r="F43">
        <f>G4</f>
        <v>37.5</v>
      </c>
      <c r="J43">
        <f>K4</f>
        <v>37</v>
      </c>
    </row>
    <row r="44" spans="1:11" x14ac:dyDescent="0.3">
      <c r="A44" t="s">
        <v>84</v>
      </c>
      <c r="B44">
        <f>C35</f>
        <v>26.5</v>
      </c>
      <c r="F44">
        <f>G29</f>
        <v>21.4</v>
      </c>
      <c r="J44">
        <f>K18</f>
        <v>26.4</v>
      </c>
    </row>
    <row r="45" spans="1:11" x14ac:dyDescent="0.3">
      <c r="A45" t="s">
        <v>86</v>
      </c>
      <c r="B45">
        <f>B35</f>
        <v>33</v>
      </c>
      <c r="F45">
        <f>F29</f>
        <v>25</v>
      </c>
      <c r="J45">
        <f>J18</f>
        <v>14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opLeftCell="B1" workbookViewId="0">
      <selection activeCell="Q11" sqref="Q11"/>
    </sheetView>
  </sheetViews>
  <sheetFormatPr defaultColWidth="9.109375" defaultRowHeight="14.4" x14ac:dyDescent="0.3"/>
  <cols>
    <col min="1" max="1" width="3.88671875" style="4" customWidth="1"/>
    <col min="2" max="2" width="9.6640625" style="4" customWidth="1"/>
    <col min="3" max="3" width="7.88671875" style="4" customWidth="1"/>
    <col min="4" max="4" width="14.33203125" style="4" customWidth="1"/>
    <col min="5" max="5" width="11.109375" style="4" customWidth="1"/>
    <col min="6" max="6" width="13.6640625" style="4" customWidth="1"/>
    <col min="7" max="7" width="18" style="4" bestFit="1" customWidth="1"/>
    <col min="8" max="8" width="9.109375" style="4"/>
    <col min="9" max="9" width="11.5546875" style="4" customWidth="1"/>
    <col min="10" max="10" width="10.6640625" style="4" bestFit="1" customWidth="1"/>
    <col min="11" max="11" width="10.6640625" style="4" customWidth="1"/>
    <col min="12" max="12" width="13.88671875" style="4" bestFit="1" customWidth="1"/>
    <col min="13" max="13" width="19" style="4" customWidth="1"/>
    <col min="14" max="14" width="16.6640625" style="4" customWidth="1"/>
    <col min="15" max="15" width="14" style="4" bestFit="1" customWidth="1"/>
    <col min="16" max="16" width="13.5546875" style="4" customWidth="1"/>
    <col min="17" max="16384" width="9.109375" style="4"/>
  </cols>
  <sheetData>
    <row r="1" spans="1:16" ht="15.6" x14ac:dyDescent="0.3">
      <c r="A1" s="100" t="s">
        <v>54</v>
      </c>
      <c r="B1" s="100"/>
      <c r="C1" s="100"/>
      <c r="D1" s="100"/>
      <c r="E1" s="3"/>
      <c r="F1" s="3"/>
      <c r="G1" s="3"/>
      <c r="H1" s="3"/>
      <c r="I1" s="3"/>
      <c r="J1" s="3"/>
      <c r="K1" s="3"/>
      <c r="L1" s="3"/>
    </row>
    <row r="3" spans="1:16" ht="43.2" x14ac:dyDescent="0.3">
      <c r="A3" s="101" t="s">
        <v>55</v>
      </c>
      <c r="B3" s="101" t="s">
        <v>56</v>
      </c>
      <c r="C3" s="5" t="s">
        <v>57</v>
      </c>
      <c r="D3" s="6" t="s">
        <v>58</v>
      </c>
      <c r="E3" s="6" t="s">
        <v>87</v>
      </c>
      <c r="F3" s="6" t="s">
        <v>59</v>
      </c>
      <c r="G3" s="6" t="s">
        <v>60</v>
      </c>
      <c r="H3" s="5" t="s">
        <v>61</v>
      </c>
      <c r="I3" s="6" t="s">
        <v>90</v>
      </c>
      <c r="J3" s="6" t="s">
        <v>62</v>
      </c>
      <c r="K3" s="6" t="s">
        <v>63</v>
      </c>
      <c r="L3" s="6" t="s">
        <v>64</v>
      </c>
      <c r="M3" s="6" t="s">
        <v>64</v>
      </c>
      <c r="N3" s="7" t="s">
        <v>65</v>
      </c>
    </row>
    <row r="4" spans="1:16" x14ac:dyDescent="0.3">
      <c r="A4" s="102"/>
      <c r="B4" s="102"/>
      <c r="C4" s="8" t="s">
        <v>66</v>
      </c>
      <c r="D4" s="8" t="s">
        <v>67</v>
      </c>
      <c r="E4" s="8" t="s">
        <v>88</v>
      </c>
      <c r="F4" s="8" t="s">
        <v>68</v>
      </c>
      <c r="G4" s="8" t="s">
        <v>69</v>
      </c>
      <c r="H4" s="102" t="s">
        <v>70</v>
      </c>
      <c r="I4" s="8" t="s">
        <v>71</v>
      </c>
      <c r="J4" s="8" t="s">
        <v>72</v>
      </c>
      <c r="K4" s="8"/>
      <c r="L4" s="8" t="s">
        <v>73</v>
      </c>
      <c r="M4" s="8" t="s">
        <v>73</v>
      </c>
      <c r="N4" s="9" t="s">
        <v>74</v>
      </c>
      <c r="P4" s="4" t="s">
        <v>74</v>
      </c>
    </row>
    <row r="5" spans="1:16" x14ac:dyDescent="0.3">
      <c r="A5" s="103"/>
      <c r="B5" s="102"/>
      <c r="C5" s="8" t="s">
        <v>75</v>
      </c>
      <c r="D5" s="8" t="s">
        <v>75</v>
      </c>
      <c r="E5" s="8"/>
      <c r="F5" s="8" t="s">
        <v>75</v>
      </c>
      <c r="G5" s="8" t="s">
        <v>75</v>
      </c>
      <c r="H5" s="102"/>
      <c r="I5" s="8" t="s">
        <v>75</v>
      </c>
      <c r="J5" s="8" t="s">
        <v>75</v>
      </c>
      <c r="K5" s="8" t="s">
        <v>75</v>
      </c>
      <c r="L5" s="8"/>
      <c r="M5" s="8" t="s">
        <v>76</v>
      </c>
      <c r="N5" s="8"/>
    </row>
    <row r="6" spans="1:16" x14ac:dyDescent="0.3">
      <c r="A6" s="10">
        <v>1</v>
      </c>
      <c r="B6" s="10" t="s">
        <v>107</v>
      </c>
      <c r="C6" s="15">
        <v>2.5</v>
      </c>
      <c r="D6" s="10">
        <v>39</v>
      </c>
      <c r="E6" s="10">
        <v>150</v>
      </c>
      <c r="F6" s="10">
        <f t="shared" ref="F6:F14" si="0">E6-D6</f>
        <v>111</v>
      </c>
      <c r="G6" s="10">
        <f t="shared" ref="G6:G14" si="1">0.5*(J6+I6)-D6</f>
        <v>14.5</v>
      </c>
      <c r="H6" s="10">
        <f t="shared" ref="H6:H11" si="2">((4000*(C6/G6))/((20+F6/C6)*(2-G6/F6)))</f>
        <v>5.7286331016935597</v>
      </c>
      <c r="I6" s="10">
        <v>42</v>
      </c>
      <c r="J6" s="10">
        <v>65</v>
      </c>
      <c r="K6" s="10">
        <f>J6-I6</f>
        <v>23</v>
      </c>
      <c r="L6" s="16">
        <v>45</v>
      </c>
      <c r="M6" s="16">
        <f>L6*60</f>
        <v>2700</v>
      </c>
      <c r="N6" s="11">
        <f t="shared" ref="N6:N14" si="3">H6*K6/M6</f>
        <v>4.8799467162574765E-2</v>
      </c>
      <c r="O6" s="4" t="s">
        <v>89</v>
      </c>
      <c r="P6" s="4">
        <f>N6*60*60*24/100</f>
        <v>42.1627396284646</v>
      </c>
    </row>
    <row r="7" spans="1:16" x14ac:dyDescent="0.3">
      <c r="A7" s="10">
        <v>2</v>
      </c>
      <c r="B7" s="10" t="s">
        <v>108</v>
      </c>
      <c r="C7" s="15">
        <v>2.5</v>
      </c>
      <c r="D7" s="10">
        <v>31.5</v>
      </c>
      <c r="E7" s="10">
        <v>150</v>
      </c>
      <c r="F7" s="10">
        <f t="shared" si="0"/>
        <v>118.5</v>
      </c>
      <c r="G7" s="10">
        <f t="shared" si="1"/>
        <v>21</v>
      </c>
      <c r="H7" s="10">
        <f t="shared" si="2"/>
        <v>3.8760146326911902</v>
      </c>
      <c r="I7" s="10">
        <v>45</v>
      </c>
      <c r="J7" s="10">
        <v>60</v>
      </c>
      <c r="K7" s="10">
        <f t="shared" ref="K7:K8" si="4">J7-I7</f>
        <v>15</v>
      </c>
      <c r="L7" s="16">
        <v>45</v>
      </c>
      <c r="M7" s="10">
        <f t="shared" ref="M7:M20" si="5">L7*60</f>
        <v>2700</v>
      </c>
      <c r="N7" s="11">
        <f t="shared" si="3"/>
        <v>2.1533414626062168E-2</v>
      </c>
      <c r="O7" s="4" t="s">
        <v>89</v>
      </c>
    </row>
    <row r="8" spans="1:16" x14ac:dyDescent="0.3">
      <c r="A8" s="10">
        <v>3</v>
      </c>
      <c r="B8" s="10" t="s">
        <v>109</v>
      </c>
      <c r="C8" s="15">
        <v>2.5</v>
      </c>
      <c r="D8" s="10">
        <v>33.5</v>
      </c>
      <c r="E8" s="10">
        <v>150</v>
      </c>
      <c r="F8" s="10">
        <f t="shared" si="0"/>
        <v>116.5</v>
      </c>
      <c r="G8" s="10">
        <f t="shared" si="1"/>
        <v>8.25</v>
      </c>
      <c r="H8" s="10">
        <f t="shared" si="2"/>
        <v>9.4340472538470337</v>
      </c>
      <c r="I8" s="10">
        <v>33.5</v>
      </c>
      <c r="J8" s="10">
        <v>50</v>
      </c>
      <c r="K8" s="10">
        <f t="shared" si="4"/>
        <v>16.5</v>
      </c>
      <c r="L8" s="16">
        <v>13</v>
      </c>
      <c r="M8" s="10">
        <f t="shared" si="5"/>
        <v>780</v>
      </c>
      <c r="N8" s="11">
        <f t="shared" si="3"/>
        <v>0.19956638421599496</v>
      </c>
      <c r="O8" s="4" t="s">
        <v>89</v>
      </c>
    </row>
    <row r="9" spans="1:16" x14ac:dyDescent="0.3">
      <c r="A9" s="10">
        <v>4</v>
      </c>
      <c r="B9" s="10" t="s">
        <v>110</v>
      </c>
      <c r="C9" s="15">
        <v>2.5</v>
      </c>
      <c r="D9" s="10">
        <f>'T2'!B41</f>
        <v>26.5</v>
      </c>
      <c r="E9" s="10">
        <v>150</v>
      </c>
      <c r="F9" s="10">
        <f t="shared" si="0"/>
        <v>123.5</v>
      </c>
      <c r="G9" s="10">
        <f t="shared" si="1"/>
        <v>8.5</v>
      </c>
      <c r="H9" s="10">
        <f t="shared" si="2"/>
        <v>8.7780930072716021</v>
      </c>
      <c r="I9" s="10">
        <f>'T2'!B44</f>
        <v>26.5</v>
      </c>
      <c r="J9" s="10">
        <f>'T2'!B43</f>
        <v>43.5</v>
      </c>
      <c r="K9" s="10">
        <f t="shared" ref="K9:K14" si="6">J9-I9</f>
        <v>17</v>
      </c>
      <c r="L9" s="16">
        <f>'T2'!B45</f>
        <v>33</v>
      </c>
      <c r="M9" s="10">
        <f t="shared" ref="M9:M14" si="7">L9*60</f>
        <v>1980</v>
      </c>
      <c r="N9" s="11">
        <f t="shared" si="3"/>
        <v>7.536746521394809E-2</v>
      </c>
      <c r="O9" s="4" t="s">
        <v>89</v>
      </c>
    </row>
    <row r="10" spans="1:16" x14ac:dyDescent="0.3">
      <c r="A10" s="10">
        <v>5</v>
      </c>
      <c r="B10" s="10" t="s">
        <v>111</v>
      </c>
      <c r="C10" s="15">
        <v>2.5</v>
      </c>
      <c r="D10" s="10">
        <f>'T2'!F41</f>
        <v>21.4</v>
      </c>
      <c r="E10" s="10">
        <v>150</v>
      </c>
      <c r="F10" s="10">
        <f t="shared" si="0"/>
        <v>128.6</v>
      </c>
      <c r="G10" s="10">
        <f t="shared" si="1"/>
        <v>8.0500000000000007</v>
      </c>
      <c r="H10" s="10">
        <f t="shared" si="2"/>
        <v>8.9751713943326159</v>
      </c>
      <c r="I10" s="10">
        <f>'T2'!F44</f>
        <v>21.4</v>
      </c>
      <c r="J10" s="10">
        <f>'T2'!F43</f>
        <v>37.5</v>
      </c>
      <c r="K10" s="10">
        <f t="shared" si="6"/>
        <v>16.100000000000001</v>
      </c>
      <c r="L10" s="16">
        <f>'T2'!F45</f>
        <v>25</v>
      </c>
      <c r="M10" s="10">
        <f t="shared" si="7"/>
        <v>1500</v>
      </c>
      <c r="N10" s="11">
        <f t="shared" si="3"/>
        <v>9.6333506299170077E-2</v>
      </c>
      <c r="O10" s="4" t="s">
        <v>89</v>
      </c>
    </row>
    <row r="11" spans="1:16" x14ac:dyDescent="0.3">
      <c r="A11" s="10">
        <v>6</v>
      </c>
      <c r="B11" s="10" t="s">
        <v>112</v>
      </c>
      <c r="C11" s="15">
        <v>2.5</v>
      </c>
      <c r="D11" s="10">
        <f>'T2'!J41</f>
        <v>26.4</v>
      </c>
      <c r="E11" s="10">
        <v>150</v>
      </c>
      <c r="F11" s="10">
        <f t="shared" si="0"/>
        <v>123.6</v>
      </c>
      <c r="G11" s="10">
        <f t="shared" si="1"/>
        <v>5.3000000000000007</v>
      </c>
      <c r="H11" s="10">
        <f t="shared" si="2"/>
        <v>13.883437854802711</v>
      </c>
      <c r="I11" s="10">
        <f>'T2'!J44</f>
        <v>26.4</v>
      </c>
      <c r="J11" s="10">
        <f>'T2'!J43</f>
        <v>37</v>
      </c>
      <c r="K11" s="10">
        <f t="shared" si="6"/>
        <v>10.600000000000001</v>
      </c>
      <c r="L11" s="16">
        <f>'T2'!J45</f>
        <v>14</v>
      </c>
      <c r="M11" s="10">
        <f t="shared" si="7"/>
        <v>840</v>
      </c>
      <c r="N11" s="11">
        <f t="shared" si="3"/>
        <v>0.17519576340584375</v>
      </c>
      <c r="O11" s="4" t="s">
        <v>89</v>
      </c>
    </row>
    <row r="12" spans="1:16" s="23" customFormat="1" x14ac:dyDescent="0.3">
      <c r="A12" s="10">
        <v>7</v>
      </c>
      <c r="B12" s="19" t="s">
        <v>113</v>
      </c>
      <c r="C12" s="20">
        <v>2.5</v>
      </c>
      <c r="D12" s="19">
        <f>'T3'!B41</f>
        <v>46</v>
      </c>
      <c r="E12" s="19">
        <v>150</v>
      </c>
      <c r="F12" s="19">
        <f t="shared" si="0"/>
        <v>104</v>
      </c>
      <c r="G12" s="19">
        <f t="shared" si="1"/>
        <v>19.400000000000006</v>
      </c>
      <c r="H12" s="19">
        <f>((3600*(C12/G12))/((10+F12/C12)*(2-G12/F12)))</f>
        <v>4.9577283739439073</v>
      </c>
      <c r="I12" s="19">
        <f>'T3'!B44</f>
        <v>58.8</v>
      </c>
      <c r="J12" s="19">
        <f>'T3'!B43</f>
        <v>72</v>
      </c>
      <c r="K12" s="19">
        <f t="shared" si="6"/>
        <v>13.200000000000003</v>
      </c>
      <c r="L12" s="21">
        <f>'T3'!B45</f>
        <v>45</v>
      </c>
      <c r="M12" s="19">
        <f t="shared" si="7"/>
        <v>2700</v>
      </c>
      <c r="N12" s="22">
        <f t="shared" si="3"/>
        <v>2.4237783161503552E-2</v>
      </c>
    </row>
    <row r="13" spans="1:16" s="23" customFormat="1" x14ac:dyDescent="0.3">
      <c r="A13" s="10">
        <v>8</v>
      </c>
      <c r="B13" s="19" t="s">
        <v>122</v>
      </c>
      <c r="C13" s="20">
        <v>2.5</v>
      </c>
      <c r="D13" s="19">
        <f>'T3'!F41</f>
        <v>37</v>
      </c>
      <c r="E13" s="19">
        <v>150</v>
      </c>
      <c r="F13" s="19">
        <f t="shared" si="0"/>
        <v>113</v>
      </c>
      <c r="G13" s="19">
        <f t="shared" si="1"/>
        <v>14.25</v>
      </c>
      <c r="H13" s="19">
        <f>((3600*(C13/G13))/((10+F13/C13)*(2-G13/F13)))</f>
        <v>6.105814302194581</v>
      </c>
      <c r="I13" s="19">
        <f>'T3'!F44</f>
        <v>41.5</v>
      </c>
      <c r="J13" s="19">
        <f>'T3'!F43</f>
        <v>61</v>
      </c>
      <c r="K13" s="19">
        <f t="shared" si="6"/>
        <v>19.5</v>
      </c>
      <c r="L13" s="21">
        <f>'T3'!F45</f>
        <v>45</v>
      </c>
      <c r="M13" s="19">
        <f t="shared" si="7"/>
        <v>2700</v>
      </c>
      <c r="N13" s="22">
        <f t="shared" si="3"/>
        <v>4.4097547738071972E-2</v>
      </c>
    </row>
    <row r="14" spans="1:16" s="23" customFormat="1" x14ac:dyDescent="0.3">
      <c r="A14" s="10">
        <v>9</v>
      </c>
      <c r="B14" s="19" t="s">
        <v>115</v>
      </c>
      <c r="C14" s="20">
        <v>2.5</v>
      </c>
      <c r="D14" s="19">
        <f>'T3'!J41</f>
        <v>49</v>
      </c>
      <c r="E14" s="19">
        <v>150</v>
      </c>
      <c r="F14" s="19">
        <f t="shared" si="0"/>
        <v>101</v>
      </c>
      <c r="G14" s="19">
        <f t="shared" si="1"/>
        <v>13</v>
      </c>
      <c r="H14" s="19">
        <f>((3600*(C14/G14))/((10+F14/C14)*(2-G14/F14)))</f>
        <v>7.3405430548287711</v>
      </c>
      <c r="I14" s="19">
        <f>'T3'!J44</f>
        <v>53</v>
      </c>
      <c r="J14" s="19">
        <f>'T3'!J43</f>
        <v>71</v>
      </c>
      <c r="K14" s="19">
        <f t="shared" si="6"/>
        <v>18</v>
      </c>
      <c r="L14" s="21">
        <f>'T3'!J45</f>
        <v>45</v>
      </c>
      <c r="M14" s="19">
        <f t="shared" si="7"/>
        <v>2700</v>
      </c>
      <c r="N14" s="22">
        <f t="shared" si="3"/>
        <v>4.8936953698858476E-2</v>
      </c>
    </row>
    <row r="15" spans="1:16" x14ac:dyDescent="0.3">
      <c r="A15" s="10">
        <v>10</v>
      </c>
      <c r="B15" s="10" t="s">
        <v>116</v>
      </c>
      <c r="C15" s="15">
        <v>2.5</v>
      </c>
      <c r="D15" s="10">
        <f>'TT1'!B40</f>
        <v>53</v>
      </c>
      <c r="E15" s="10">
        <v>150</v>
      </c>
      <c r="F15" s="10">
        <f t="shared" ref="F15:F20" si="8">E15-D15</f>
        <v>97</v>
      </c>
      <c r="G15" s="10">
        <f t="shared" ref="G15:G20" si="9">0.5*(J15+I15)-D15</f>
        <v>2.6000000000000014</v>
      </c>
      <c r="H15" s="10">
        <f t="shared" ref="H15:H20" si="10">((4000*(C15/G15))/((20+F15/C15)*(2-G15/F15)))</f>
        <v>33.149663691535594</v>
      </c>
      <c r="I15" s="10">
        <f>'TT1'!B43</f>
        <v>51.2</v>
      </c>
      <c r="J15" s="10">
        <f>'TT1'!B42</f>
        <v>60</v>
      </c>
      <c r="K15" s="10">
        <f t="shared" ref="K15:K20" si="11">J15-I15</f>
        <v>8.7999999999999972</v>
      </c>
      <c r="L15" s="16">
        <f>'TT1'!B44</f>
        <v>45</v>
      </c>
      <c r="M15" s="10">
        <f t="shared" si="5"/>
        <v>2700</v>
      </c>
      <c r="N15" s="11">
        <f t="shared" ref="N15:N20" si="12">H15*K15/M15</f>
        <v>0.10804334832796782</v>
      </c>
      <c r="O15" s="4" t="s">
        <v>89</v>
      </c>
    </row>
    <row r="16" spans="1:16" x14ac:dyDescent="0.3">
      <c r="A16" s="10">
        <v>11</v>
      </c>
      <c r="B16" s="10" t="s">
        <v>117</v>
      </c>
      <c r="C16" s="15">
        <v>2.5</v>
      </c>
      <c r="D16" s="10">
        <f>'TT1'!F40</f>
        <v>45.5</v>
      </c>
      <c r="E16" s="10">
        <v>150</v>
      </c>
      <c r="F16" s="10">
        <f t="shared" si="8"/>
        <v>104.5</v>
      </c>
      <c r="G16" s="10">
        <f t="shared" si="9"/>
        <v>8.8500000000000014</v>
      </c>
      <c r="H16" s="10">
        <f t="shared" si="10"/>
        <v>9.5461652987765433</v>
      </c>
      <c r="I16" s="10">
        <f>'TT1'!F43</f>
        <v>51.2</v>
      </c>
      <c r="J16" s="10">
        <f>'TT1'!F42</f>
        <v>57.5</v>
      </c>
      <c r="K16" s="10">
        <f t="shared" si="11"/>
        <v>6.2999999999999972</v>
      </c>
      <c r="L16" s="16">
        <f>'TT1'!F44</f>
        <v>45</v>
      </c>
      <c r="M16" s="10">
        <f t="shared" si="5"/>
        <v>2700</v>
      </c>
      <c r="N16" s="11">
        <f t="shared" si="12"/>
        <v>2.2274385697145255E-2</v>
      </c>
      <c r="O16" s="4" t="s">
        <v>89</v>
      </c>
    </row>
    <row r="17" spans="1:17" x14ac:dyDescent="0.3">
      <c r="A17" s="10">
        <v>12</v>
      </c>
      <c r="B17" s="10" t="s">
        <v>118</v>
      </c>
      <c r="C17" s="15">
        <v>2.5</v>
      </c>
      <c r="D17" s="10">
        <f>'TT1'!J40</f>
        <v>47</v>
      </c>
      <c r="E17" s="10">
        <v>150</v>
      </c>
      <c r="F17" s="10">
        <f t="shared" si="8"/>
        <v>103</v>
      </c>
      <c r="G17" s="10">
        <f t="shared" si="9"/>
        <v>8</v>
      </c>
      <c r="H17" s="10">
        <f t="shared" si="10"/>
        <v>10.625041262296165</v>
      </c>
      <c r="I17" s="10">
        <f>'TT1'!J43</f>
        <v>51</v>
      </c>
      <c r="J17" s="10">
        <f>'TT1'!J42</f>
        <v>59</v>
      </c>
      <c r="K17" s="10">
        <f t="shared" si="11"/>
        <v>8</v>
      </c>
      <c r="L17" s="16">
        <f>'TT1'!J44</f>
        <v>45</v>
      </c>
      <c r="M17" s="10">
        <f t="shared" si="5"/>
        <v>2700</v>
      </c>
      <c r="N17" s="11">
        <f t="shared" si="12"/>
        <v>3.1481603740136782E-2</v>
      </c>
      <c r="O17" s="4" t="s">
        <v>89</v>
      </c>
    </row>
    <row r="18" spans="1:17" x14ac:dyDescent="0.3">
      <c r="A18" s="10">
        <v>13</v>
      </c>
      <c r="B18" s="10" t="s">
        <v>119</v>
      </c>
      <c r="C18" s="15">
        <v>2.5</v>
      </c>
      <c r="D18" s="10">
        <f>'TT2'!B40</f>
        <v>58.5</v>
      </c>
      <c r="E18" s="10">
        <v>150</v>
      </c>
      <c r="F18" s="10">
        <f t="shared" si="8"/>
        <v>91.5</v>
      </c>
      <c r="G18" s="10">
        <f t="shared" si="9"/>
        <v>2.2000000000000028</v>
      </c>
      <c r="H18" s="10">
        <f t="shared" si="10"/>
        <v>40.642793992648535</v>
      </c>
      <c r="I18" s="10">
        <f>'TT2'!B43</f>
        <v>58.4</v>
      </c>
      <c r="J18" s="10">
        <f>'TT2'!B42</f>
        <v>63</v>
      </c>
      <c r="K18" s="10">
        <f t="shared" si="11"/>
        <v>4.6000000000000014</v>
      </c>
      <c r="L18" s="16">
        <f>'TT2'!B44</f>
        <v>45</v>
      </c>
      <c r="M18" s="10">
        <f t="shared" si="5"/>
        <v>2700</v>
      </c>
      <c r="N18" s="11">
        <f t="shared" si="12"/>
        <v>6.9243278654141968E-2</v>
      </c>
      <c r="O18" s="4" t="s">
        <v>89</v>
      </c>
    </row>
    <row r="19" spans="1:17" x14ac:dyDescent="0.3">
      <c r="A19" s="10">
        <v>14</v>
      </c>
      <c r="B19" s="10" t="s">
        <v>120</v>
      </c>
      <c r="C19" s="15">
        <v>2.5</v>
      </c>
      <c r="D19" s="10">
        <f>'TT2'!F40</f>
        <v>53</v>
      </c>
      <c r="E19" s="10">
        <v>150</v>
      </c>
      <c r="F19" s="10">
        <f t="shared" si="8"/>
        <v>97</v>
      </c>
      <c r="G19" s="10">
        <f t="shared" si="9"/>
        <v>5</v>
      </c>
      <c r="H19" s="10">
        <f t="shared" si="10"/>
        <v>17.456718136990247</v>
      </c>
      <c r="I19" s="10">
        <f>'TT2'!F43</f>
        <v>56</v>
      </c>
      <c r="J19" s="10">
        <f>'TT2'!F42</f>
        <v>60</v>
      </c>
      <c r="K19" s="10">
        <f t="shared" si="11"/>
        <v>4</v>
      </c>
      <c r="L19" s="16">
        <f>'TT2'!F44</f>
        <v>45</v>
      </c>
      <c r="M19" s="10">
        <f t="shared" si="5"/>
        <v>2700</v>
      </c>
      <c r="N19" s="11">
        <f t="shared" si="12"/>
        <v>2.5861804647392957E-2</v>
      </c>
      <c r="O19" s="4" t="s">
        <v>89</v>
      </c>
    </row>
    <row r="20" spans="1:17" x14ac:dyDescent="0.3">
      <c r="A20" s="10">
        <v>15</v>
      </c>
      <c r="B20" s="10" t="s">
        <v>121</v>
      </c>
      <c r="C20" s="15">
        <v>2.5</v>
      </c>
      <c r="D20" s="10">
        <f>'TT2'!J40</f>
        <v>49</v>
      </c>
      <c r="E20" s="10">
        <v>150</v>
      </c>
      <c r="F20" s="10">
        <f t="shared" si="8"/>
        <v>101</v>
      </c>
      <c r="G20" s="10">
        <f t="shared" si="9"/>
        <v>7.3500000000000014</v>
      </c>
      <c r="H20" s="10">
        <f t="shared" si="10"/>
        <v>11.688066880646238</v>
      </c>
      <c r="I20" s="10">
        <f>'TT2'!J43</f>
        <v>52.7</v>
      </c>
      <c r="J20" s="10">
        <f>'TT2'!J42</f>
        <v>60</v>
      </c>
      <c r="K20" s="10">
        <f t="shared" si="11"/>
        <v>7.2999999999999972</v>
      </c>
      <c r="L20" s="16">
        <f>'TT2'!J44</f>
        <v>45</v>
      </c>
      <c r="M20" s="10">
        <f t="shared" si="5"/>
        <v>2700</v>
      </c>
      <c r="N20" s="11">
        <f t="shared" si="12"/>
        <v>3.1601069714339819E-2</v>
      </c>
      <c r="O20" s="4" t="s">
        <v>89</v>
      </c>
    </row>
    <row r="21" spans="1:17" s="23" customFormat="1" x14ac:dyDescent="0.3">
      <c r="A21" s="10">
        <v>16</v>
      </c>
      <c r="B21" s="19" t="s">
        <v>123</v>
      </c>
      <c r="C21" s="20">
        <v>2.5</v>
      </c>
      <c r="D21" s="10">
        <v>26.5</v>
      </c>
      <c r="E21" s="10">
        <v>150</v>
      </c>
      <c r="F21" s="10">
        <v>123.5</v>
      </c>
      <c r="G21" s="10">
        <v>8.5</v>
      </c>
      <c r="H21" s="10">
        <v>8.7780930072716021</v>
      </c>
      <c r="I21" s="10">
        <v>26.5</v>
      </c>
      <c r="J21" s="10">
        <v>43.5</v>
      </c>
      <c r="K21" s="10">
        <v>17</v>
      </c>
      <c r="L21" s="16">
        <v>33</v>
      </c>
      <c r="M21" s="10">
        <v>1980</v>
      </c>
      <c r="N21" s="11">
        <v>7.536746521394809E-2</v>
      </c>
      <c r="O21" s="4" t="s">
        <v>89</v>
      </c>
    </row>
    <row r="22" spans="1:17" s="23" customFormat="1" x14ac:dyDescent="0.3">
      <c r="A22" s="10">
        <v>17</v>
      </c>
      <c r="B22" s="19" t="s">
        <v>114</v>
      </c>
      <c r="C22" s="20">
        <v>2.5</v>
      </c>
      <c r="D22" s="10">
        <v>21.4</v>
      </c>
      <c r="E22" s="10">
        <v>150</v>
      </c>
      <c r="F22" s="10">
        <v>128.6</v>
      </c>
      <c r="G22" s="10">
        <v>8.0500000000000007</v>
      </c>
      <c r="H22" s="10">
        <v>8.9751713943326159</v>
      </c>
      <c r="I22" s="10">
        <v>21.4</v>
      </c>
      <c r="J22" s="10">
        <v>37.5</v>
      </c>
      <c r="K22" s="10">
        <v>16.100000000000001</v>
      </c>
      <c r="L22" s="16">
        <v>25</v>
      </c>
      <c r="M22" s="10">
        <v>1500</v>
      </c>
      <c r="N22" s="11">
        <v>9.6333506299170077E-2</v>
      </c>
      <c r="O22" s="4" t="s">
        <v>89</v>
      </c>
    </row>
    <row r="23" spans="1:17" s="23" customFormat="1" x14ac:dyDescent="0.3">
      <c r="A23" s="10">
        <v>18</v>
      </c>
      <c r="B23" s="19" t="s">
        <v>124</v>
      </c>
      <c r="C23" s="20">
        <v>2.5</v>
      </c>
      <c r="D23" s="10">
        <v>26.4</v>
      </c>
      <c r="E23" s="10">
        <v>150</v>
      </c>
      <c r="F23" s="10">
        <v>123.6</v>
      </c>
      <c r="G23" s="10">
        <v>5.3000000000000007</v>
      </c>
      <c r="H23" s="10">
        <v>13.883437854802711</v>
      </c>
      <c r="I23" s="10">
        <v>26.4</v>
      </c>
      <c r="J23" s="10">
        <v>37</v>
      </c>
      <c r="K23" s="10">
        <v>10.600000000000001</v>
      </c>
      <c r="L23" s="16">
        <v>14</v>
      </c>
      <c r="M23" s="10">
        <v>840</v>
      </c>
      <c r="N23" s="11">
        <v>0.17519576340584375</v>
      </c>
      <c r="O23" s="4" t="s">
        <v>89</v>
      </c>
    </row>
    <row r="24" spans="1:17" s="23" customFormat="1" x14ac:dyDescent="0.3">
      <c r="A24" s="14"/>
      <c r="B24" s="24"/>
      <c r="C24" s="25"/>
      <c r="D24" s="24"/>
      <c r="E24" s="24"/>
      <c r="F24" s="24"/>
      <c r="G24" s="24"/>
      <c r="H24" s="24"/>
      <c r="I24" s="24"/>
      <c r="J24" s="24"/>
      <c r="K24" s="24"/>
      <c r="L24" s="26"/>
      <c r="M24" s="24"/>
      <c r="N24" s="27"/>
    </row>
    <row r="25" spans="1:17" s="23" customFormat="1" x14ac:dyDescent="0.3">
      <c r="A25" s="14"/>
      <c r="B25" s="24"/>
      <c r="C25" s="25"/>
      <c r="D25" s="24"/>
      <c r="E25" s="24"/>
      <c r="F25" s="24"/>
      <c r="G25" s="24"/>
      <c r="H25" s="24"/>
      <c r="I25" s="24"/>
      <c r="J25" s="24"/>
      <c r="K25" s="24"/>
      <c r="L25" s="26"/>
      <c r="M25" s="24"/>
      <c r="N25" s="27"/>
    </row>
    <row r="26" spans="1:17" s="23" customFormat="1" x14ac:dyDescent="0.3">
      <c r="A26" s="14"/>
      <c r="B26" s="24"/>
      <c r="C26" s="25"/>
      <c r="D26" s="24"/>
      <c r="E26" s="24"/>
      <c r="F26" s="24"/>
      <c r="G26" s="24"/>
      <c r="H26" s="24"/>
      <c r="I26" s="24"/>
      <c r="J26" s="24"/>
      <c r="K26" s="24"/>
      <c r="L26" s="26"/>
      <c r="M26" s="24"/>
      <c r="N26" s="27"/>
    </row>
    <row r="27" spans="1:17" x14ac:dyDescent="0.3">
      <c r="L27" s="12"/>
      <c r="M27" s="12"/>
    </row>
    <row r="28" spans="1:17" x14ac:dyDescent="0.3">
      <c r="L28" t="s">
        <v>77</v>
      </c>
      <c r="M28">
        <v>33.5</v>
      </c>
    </row>
    <row r="29" spans="1:17" x14ac:dyDescent="0.3">
      <c r="L29" t="s">
        <v>78</v>
      </c>
      <c r="M29">
        <f>150-M28</f>
        <v>116.5</v>
      </c>
      <c r="N29" s="13"/>
      <c r="O29" s="13"/>
      <c r="P29" s="13"/>
      <c r="Q29" s="14"/>
    </row>
    <row r="30" spans="1:17" x14ac:dyDescent="0.3">
      <c r="L30" t="s">
        <v>82</v>
      </c>
      <c r="M30">
        <v>50</v>
      </c>
      <c r="N30" s="13"/>
      <c r="O30" s="13"/>
      <c r="P30" s="13"/>
      <c r="Q30" s="14"/>
    </row>
    <row r="31" spans="1:17" x14ac:dyDescent="0.3">
      <c r="L31" t="s">
        <v>84</v>
      </c>
      <c r="M31">
        <v>33.5</v>
      </c>
      <c r="N31" s="13"/>
      <c r="O31" s="13"/>
      <c r="P31" s="13"/>
      <c r="Q31" s="14"/>
    </row>
    <row r="32" spans="1:17" x14ac:dyDescent="0.3">
      <c r="L32" t="s">
        <v>86</v>
      </c>
      <c r="M32">
        <v>13</v>
      </c>
      <c r="N32" s="13"/>
      <c r="O32" s="13"/>
      <c r="P32" s="13"/>
      <c r="Q32" s="14"/>
    </row>
    <row r="33" spans="14:17" x14ac:dyDescent="0.3">
      <c r="N33" s="13"/>
      <c r="O33" s="13"/>
      <c r="P33" s="13"/>
      <c r="Q33" s="14"/>
    </row>
    <row r="34" spans="14:17" x14ac:dyDescent="0.3">
      <c r="N34" s="13"/>
      <c r="O34" s="13"/>
      <c r="P34" s="13"/>
      <c r="Q34" s="14"/>
    </row>
    <row r="35" spans="14:17" x14ac:dyDescent="0.3">
      <c r="N35" s="13"/>
      <c r="O35" s="13"/>
      <c r="P35" s="13"/>
      <c r="Q35" s="14"/>
    </row>
    <row r="36" spans="14:17" x14ac:dyDescent="0.3">
      <c r="N36" s="13"/>
      <c r="O36" s="13"/>
      <c r="P36" s="13"/>
      <c r="Q36" s="14"/>
    </row>
    <row r="37" spans="14:17" x14ac:dyDescent="0.3">
      <c r="N37" s="13"/>
      <c r="O37" s="13"/>
      <c r="P37" s="13"/>
      <c r="Q37" s="14"/>
    </row>
    <row r="38" spans="14:17" x14ac:dyDescent="0.3">
      <c r="N38" s="14"/>
      <c r="O38" s="14"/>
      <c r="P38" s="14"/>
      <c r="Q38" s="14"/>
    </row>
  </sheetData>
  <mergeCells count="4">
    <mergeCell ref="A1:D1"/>
    <mergeCell ref="A3:A5"/>
    <mergeCell ref="B3:B5"/>
    <mergeCell ref="H4:H5"/>
  </mergeCells>
  <phoneticPr fontId="3" type="noConversion"/>
  <pageMargins left="0.7" right="0.7" top="0.75" bottom="0.75" header="0.3" footer="0.3"/>
  <pageSetup paperSize="10000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"/>
  <sheetViews>
    <sheetView workbookViewId="0">
      <selection activeCell="Z16" sqref="Z16"/>
    </sheetView>
  </sheetViews>
  <sheetFormatPr defaultColWidth="9.109375" defaultRowHeight="14.4" x14ac:dyDescent="0.3"/>
  <cols>
    <col min="1" max="1" width="5.44140625" style="28" customWidth="1"/>
    <col min="2" max="2" width="10.33203125" style="28" customWidth="1"/>
    <col min="3" max="3" width="17.6640625" style="28" customWidth="1"/>
    <col min="4" max="5" width="9.109375" style="28"/>
    <col min="6" max="10" width="18" style="28" customWidth="1"/>
    <col min="11" max="12" width="11.5546875" style="28" bestFit="1" customWidth="1"/>
    <col min="13" max="13" width="11.33203125" style="28" bestFit="1" customWidth="1"/>
    <col min="14" max="14" width="27.88671875" style="28" bestFit="1" customWidth="1"/>
    <col min="15" max="15" width="14.6640625" style="28" customWidth="1"/>
    <col min="16" max="16384" width="9.109375" style="28"/>
  </cols>
  <sheetData>
    <row r="1" spans="1:26" ht="57.6" x14ac:dyDescent="0.3">
      <c r="A1" s="104" t="s">
        <v>93</v>
      </c>
      <c r="B1" s="104"/>
      <c r="C1" s="104"/>
      <c r="D1" s="105" t="s">
        <v>94</v>
      </c>
      <c r="E1" s="105"/>
      <c r="F1" s="105"/>
      <c r="G1" s="91"/>
      <c r="H1" s="91"/>
      <c r="I1" s="91"/>
      <c r="J1" s="91"/>
      <c r="S1" s="81"/>
      <c r="T1" s="81" t="str">
        <f>C2</f>
        <v>Konduktivitas Hidrolik (m/hari)</v>
      </c>
      <c r="W1" s="82" t="str">
        <f>C2</f>
        <v>Konduktivitas Hidrolik (m/hari)</v>
      </c>
      <c r="Y1" s="81"/>
      <c r="Z1" s="81" t="str">
        <f>C2</f>
        <v>Konduktivitas Hidrolik (m/hari)</v>
      </c>
    </row>
    <row r="2" spans="1:26" ht="28.8" x14ac:dyDescent="0.3">
      <c r="A2" s="30" t="s">
        <v>55</v>
      </c>
      <c r="B2" s="30" t="s">
        <v>91</v>
      </c>
      <c r="C2" s="30" t="s">
        <v>92</v>
      </c>
      <c r="D2" s="30" t="s">
        <v>55</v>
      </c>
      <c r="E2" s="30" t="s">
        <v>91</v>
      </c>
      <c r="F2" s="30" t="s">
        <v>92</v>
      </c>
      <c r="G2" s="28" t="s">
        <v>233</v>
      </c>
      <c r="H2" s="28" t="s">
        <v>234</v>
      </c>
      <c r="I2" s="28" t="s">
        <v>235</v>
      </c>
      <c r="J2" s="28" t="s">
        <v>236</v>
      </c>
      <c r="K2" s="28" t="s">
        <v>236</v>
      </c>
      <c r="O2" t="s">
        <v>97</v>
      </c>
      <c r="P2"/>
      <c r="Q2"/>
      <c r="S2" s="28" t="s">
        <v>100</v>
      </c>
      <c r="T2" s="37">
        <f>AVERAGE(C3:C11)</f>
        <v>8.1563142835780866E-2</v>
      </c>
      <c r="V2" s="28" t="s">
        <v>185</v>
      </c>
      <c r="W2" s="83" t="e">
        <f>W9-$W16</f>
        <v>#REF!</v>
      </c>
      <c r="Y2" s="28" t="s">
        <v>193</v>
      </c>
      <c r="Z2" s="28">
        <f>[2]!SHAPIRO(C3:C11)</f>
        <v>0.83184116914071338</v>
      </c>
    </row>
    <row r="3" spans="1:26" ht="29.4" thickBot="1" x14ac:dyDescent="0.35">
      <c r="A3" s="28">
        <v>1</v>
      </c>
      <c r="B3" s="10" t="s">
        <v>107</v>
      </c>
      <c r="C3" s="29">
        <f>KH!N6</f>
        <v>4.8799467162574765E-2</v>
      </c>
      <c r="D3" s="28">
        <v>1</v>
      </c>
      <c r="E3" s="28" t="str">
        <f>KH!B15</f>
        <v>TT1-1</v>
      </c>
      <c r="F3" s="29">
        <f>KH!N15</f>
        <v>0.10804334832796782</v>
      </c>
      <c r="G3" s="29">
        <f>AVERAGE(C3:C10,F3:F11)</f>
        <v>7.7678444560191517E-2</v>
      </c>
      <c r="H3" s="29">
        <f>G3/24</f>
        <v>3.2366018566746466E-3</v>
      </c>
      <c r="I3" s="29">
        <f>H3/60</f>
        <v>5.3943364277910776E-5</v>
      </c>
      <c r="J3" s="29">
        <f>I3/60</f>
        <v>8.9905607129851293E-7</v>
      </c>
      <c r="K3" s="99">
        <f>J3*10^7</f>
        <v>8.990560712985129</v>
      </c>
      <c r="O3"/>
      <c r="P3"/>
      <c r="Q3"/>
      <c r="S3" s="28" t="s">
        <v>165</v>
      </c>
      <c r="T3" s="28">
        <f>_xlfn.STDEV.S(C3:C11)/SQRT(COUNT(C3:C11))</f>
        <v>2.1531548325477046E-2</v>
      </c>
      <c r="V3" s="28" t="s">
        <v>187</v>
      </c>
      <c r="W3" s="84" t="e">
        <f>MAX(W10-W9,0)</f>
        <v>#REF!</v>
      </c>
      <c r="Y3" s="28" t="s">
        <v>194</v>
      </c>
      <c r="Z3" s="28">
        <f>[2]!SWTEST(C3:C11)</f>
        <v>4.6828038437335073E-2</v>
      </c>
    </row>
    <row r="4" spans="1:26" x14ac:dyDescent="0.3">
      <c r="A4" s="28">
        <v>2</v>
      </c>
      <c r="B4" s="10" t="s">
        <v>108</v>
      </c>
      <c r="C4" s="29">
        <f>KH!N7</f>
        <v>2.1533414626062168E-2</v>
      </c>
      <c r="D4" s="28">
        <v>2</v>
      </c>
      <c r="E4" s="28" t="str">
        <f>KH!B16</f>
        <v>TT1-2</v>
      </c>
      <c r="F4" s="29">
        <f>KH!N16</f>
        <v>2.2274385697145255E-2</v>
      </c>
      <c r="G4" s="29"/>
      <c r="H4" s="29"/>
      <c r="I4" s="29"/>
      <c r="J4" s="29"/>
      <c r="O4" s="33"/>
      <c r="P4" s="33" t="s">
        <v>98</v>
      </c>
      <c r="Q4" s="33" t="s">
        <v>99</v>
      </c>
      <c r="S4" s="28" t="s">
        <v>166</v>
      </c>
      <c r="T4" s="37">
        <f>MEDIAN(C3:C11)</f>
        <v>4.8936953698858476E-2</v>
      </c>
      <c r="V4" s="28" t="s">
        <v>188</v>
      </c>
      <c r="W4" s="84">
        <f t="shared" ref="W4:W6" si="0">MAX(W11-W10,0)</f>
        <v>4.8394059607865039E-3</v>
      </c>
      <c r="Y4" s="28" t="s">
        <v>195</v>
      </c>
      <c r="Z4" s="28">
        <v>0.05</v>
      </c>
    </row>
    <row r="5" spans="1:26" x14ac:dyDescent="0.3">
      <c r="A5" s="28">
        <v>3</v>
      </c>
      <c r="B5" s="10" t="s">
        <v>109</v>
      </c>
      <c r="C5" s="29">
        <f>KH!N8</f>
        <v>0.19956638421599496</v>
      </c>
      <c r="D5" s="28">
        <v>3</v>
      </c>
      <c r="E5" s="28" t="str">
        <f>KH!B17</f>
        <v>TT1-3</v>
      </c>
      <c r="F5" s="29">
        <f>KH!N17</f>
        <v>3.1481603740136782E-2</v>
      </c>
      <c r="G5" s="29"/>
      <c r="H5" s="29"/>
      <c r="I5" s="29"/>
      <c r="J5" s="29"/>
      <c r="O5" s="32" t="s">
        <v>100</v>
      </c>
      <c r="P5" s="32">
        <v>3.0568377040606311E-2</v>
      </c>
      <c r="Q5" s="32">
        <v>4.1244104249321338E-2</v>
      </c>
      <c r="S5" s="28" t="s">
        <v>167</v>
      </c>
      <c r="T5" s="28" t="e">
        <f>MODE(C3:C11)</f>
        <v>#N/A</v>
      </c>
      <c r="V5" s="28" t="s">
        <v>189</v>
      </c>
      <c r="W5" s="84">
        <f t="shared" si="0"/>
        <v>4.7396552600311601E-2</v>
      </c>
      <c r="Y5" s="80" t="s">
        <v>196</v>
      </c>
      <c r="Z5" s="87" t="str">
        <f>IF(Z3&lt;Z4,"no","yes")</f>
        <v>no</v>
      </c>
    </row>
    <row r="6" spans="1:26" ht="28.8" x14ac:dyDescent="0.3">
      <c r="A6" s="28">
        <v>4</v>
      </c>
      <c r="B6" s="10" t="s">
        <v>110</v>
      </c>
      <c r="C6" s="29">
        <f>KH!N9</f>
        <v>7.536746521394809E-2</v>
      </c>
      <c r="D6" s="28">
        <v>4</v>
      </c>
      <c r="E6" s="28" t="str">
        <f>KH!B18</f>
        <v>TT2-1</v>
      </c>
      <c r="F6" s="29">
        <f>KH!N18</f>
        <v>6.9243278654141968E-2</v>
      </c>
      <c r="G6" s="29"/>
      <c r="H6" s="29"/>
      <c r="I6" s="29"/>
      <c r="J6" s="29"/>
      <c r="K6" s="28" t="s">
        <v>232</v>
      </c>
      <c r="O6" s="32" t="s">
        <v>101</v>
      </c>
      <c r="P6" s="32">
        <v>5.2354685371063371E-4</v>
      </c>
      <c r="Q6" s="32">
        <v>4.3105916520821642E-3</v>
      </c>
      <c r="S6" s="28" t="s">
        <v>168</v>
      </c>
      <c r="T6" s="28">
        <f>_xlfn.STDEV.S(C3:C11)</f>
        <v>6.4594644976431137E-2</v>
      </c>
      <c r="V6" s="28" t="s">
        <v>190</v>
      </c>
      <c r="W6" s="84" t="e">
        <f t="shared" si="0"/>
        <v>#REF!</v>
      </c>
    </row>
    <row r="7" spans="1:26" ht="43.2" x14ac:dyDescent="0.3">
      <c r="A7" s="28">
        <v>5</v>
      </c>
      <c r="B7" s="10" t="s">
        <v>111</v>
      </c>
      <c r="C7" s="29">
        <f>KH!N10</f>
        <v>9.6333506299170077E-2</v>
      </c>
      <c r="D7" s="28">
        <v>5</v>
      </c>
      <c r="E7" s="28" t="str">
        <f>KH!B19</f>
        <v>TT2-2</v>
      </c>
      <c r="F7" s="29">
        <f>KH!N19</f>
        <v>2.5861804647392957E-2</v>
      </c>
      <c r="G7" s="29"/>
      <c r="H7" s="29"/>
      <c r="I7" s="29"/>
      <c r="J7" s="29"/>
      <c r="O7" s="32" t="s">
        <v>102</v>
      </c>
      <c r="P7" s="32">
        <v>15</v>
      </c>
      <c r="Q7" s="32">
        <v>15</v>
      </c>
      <c r="S7" s="28" t="s">
        <v>169</v>
      </c>
      <c r="T7" s="28">
        <f>_xlfn.VAR.S(C3:C11)</f>
        <v>4.172468159631181E-3</v>
      </c>
      <c r="V7" s="28" t="s">
        <v>100</v>
      </c>
      <c r="W7" s="86" t="e">
        <f>W14-$W16</f>
        <v>#REF!</v>
      </c>
      <c r="Y7" s="28" t="s">
        <v>197</v>
      </c>
    </row>
    <row r="8" spans="1:26" x14ac:dyDescent="0.3">
      <c r="A8" s="28">
        <v>6</v>
      </c>
      <c r="B8" s="10" t="s">
        <v>112</v>
      </c>
      <c r="C8" s="29">
        <f>KH!N11</f>
        <v>0.17519576340584375</v>
      </c>
      <c r="D8" s="28">
        <v>6</v>
      </c>
      <c r="E8" s="28" t="str">
        <f>KH!B20</f>
        <v>TT2-3</v>
      </c>
      <c r="F8" s="29">
        <f>KH!N20</f>
        <v>3.1601069714339819E-2</v>
      </c>
      <c r="G8" s="29"/>
      <c r="H8" s="29"/>
      <c r="I8" s="29"/>
      <c r="J8" s="29"/>
      <c r="O8" s="32" t="s">
        <v>103</v>
      </c>
      <c r="P8" s="32">
        <v>2.4170692528963991E-3</v>
      </c>
      <c r="Q8" s="32"/>
      <c r="S8" s="28" t="s">
        <v>170</v>
      </c>
      <c r="T8" s="28">
        <f>KURT(C3:C11)</f>
        <v>2.6588683754807718E-2</v>
      </c>
    </row>
    <row r="9" spans="1:26" x14ac:dyDescent="0.3">
      <c r="A9" s="28">
        <v>7</v>
      </c>
      <c r="B9" s="19" t="s">
        <v>113</v>
      </c>
      <c r="C9" s="29">
        <f>KH!N12</f>
        <v>2.4237783161503552E-2</v>
      </c>
      <c r="D9" s="28">
        <v>7</v>
      </c>
      <c r="E9" s="28" t="str">
        <f>KH!B21</f>
        <v>TT3-1</v>
      </c>
      <c r="F9" s="29">
        <f>KH!N21</f>
        <v>7.536746521394809E-2</v>
      </c>
      <c r="G9" s="29"/>
      <c r="H9" s="29"/>
      <c r="I9" s="29"/>
      <c r="J9" s="29"/>
      <c r="O9" s="32" t="s">
        <v>104</v>
      </c>
      <c r="P9" s="32">
        <v>0</v>
      </c>
      <c r="Q9" s="32"/>
      <c r="S9" s="28" t="s">
        <v>171</v>
      </c>
      <c r="T9" s="28">
        <f>SKEW(C3:C11)</f>
        <v>1.1567283935499919</v>
      </c>
      <c r="V9" s="28" t="s">
        <v>185</v>
      </c>
      <c r="W9" s="83" t="e">
        <f t="array" ref="W9">MIN(IF(ISBLANK(C3:C11),"",IF(C3:C11&gt;=W10-#REF!*(W12-W10),C3:C11,"")))</f>
        <v>#REF!</v>
      </c>
      <c r="Y9" s="88" t="s">
        <v>198</v>
      </c>
      <c r="Z9" s="88">
        <f>[2]!DAGOSTINO(C3:C11)</f>
        <v>2.6652626472702639</v>
      </c>
    </row>
    <row r="10" spans="1:26" x14ac:dyDescent="0.3">
      <c r="A10" s="28">
        <v>8</v>
      </c>
      <c r="B10" s="19" t="s">
        <v>122</v>
      </c>
      <c r="C10" s="29">
        <f>KH!N13</f>
        <v>4.4097547738071972E-2</v>
      </c>
      <c r="D10" s="28">
        <v>8</v>
      </c>
      <c r="E10" s="28" t="str">
        <f>KH!B22</f>
        <v>TT3-2</v>
      </c>
      <c r="F10" s="29">
        <f>KH!N22</f>
        <v>9.6333506299170077E-2</v>
      </c>
      <c r="G10" s="29"/>
      <c r="H10" s="29"/>
      <c r="I10" s="29"/>
      <c r="J10" s="29"/>
      <c r="O10" s="32" t="s">
        <v>105</v>
      </c>
      <c r="P10" s="32">
        <v>28</v>
      </c>
      <c r="Q10" s="32"/>
      <c r="S10" s="28" t="s">
        <v>172</v>
      </c>
      <c r="T10" s="28">
        <f>T11-T12</f>
        <v>0.17803296958993278</v>
      </c>
      <c r="V10" s="28" t="s">
        <v>136</v>
      </c>
      <c r="W10" s="84">
        <f>_xlfn.QUARTILE.INC(C3:C11,1)</f>
        <v>4.4097547738071972E-2</v>
      </c>
      <c r="Y10" s="28" t="s">
        <v>194</v>
      </c>
      <c r="Z10" s="28">
        <f>[2]!DPTEST(C3:C11)</f>
        <v>0.26378225083096063</v>
      </c>
    </row>
    <row r="11" spans="1:26" x14ac:dyDescent="0.3">
      <c r="A11" s="28">
        <v>9</v>
      </c>
      <c r="B11" s="19" t="s">
        <v>115</v>
      </c>
      <c r="C11" s="29">
        <f>KH!N14</f>
        <v>4.8936953698858476E-2</v>
      </c>
      <c r="D11" s="28">
        <v>9</v>
      </c>
      <c r="E11" s="28" t="str">
        <f>KH!B23</f>
        <v>TT3-3</v>
      </c>
      <c r="F11" s="29">
        <f>KH!N23</f>
        <v>0.17519576340584375</v>
      </c>
      <c r="G11" s="29"/>
      <c r="H11" s="29"/>
      <c r="I11" s="29"/>
      <c r="J11" s="29"/>
      <c r="O11" s="32" t="s">
        <v>106</v>
      </c>
      <c r="P11" s="32">
        <v>-0.59468030123100002</v>
      </c>
      <c r="Q11" s="32"/>
      <c r="S11" s="28" t="s">
        <v>173</v>
      </c>
      <c r="T11" s="37">
        <f>MAX(C3:C11)</f>
        <v>0.19956638421599496</v>
      </c>
      <c r="V11" s="28" t="s">
        <v>166</v>
      </c>
      <c r="W11" s="85">
        <f>MEDIAN(C3:C11)</f>
        <v>4.8936953698858476E-2</v>
      </c>
      <c r="Y11" s="28" t="s">
        <v>195</v>
      </c>
      <c r="Z11" s="28">
        <v>0.05</v>
      </c>
    </row>
    <row r="12" spans="1:26" x14ac:dyDescent="0.3">
      <c r="A12" s="106" t="s">
        <v>95</v>
      </c>
      <c r="B12" s="106"/>
      <c r="C12" s="31">
        <f>AVERAGE(C3:C11)</f>
        <v>8.1563142835780866E-2</v>
      </c>
      <c r="D12" s="106" t="s">
        <v>95</v>
      </c>
      <c r="E12" s="106"/>
      <c r="F12" s="31">
        <f>AVERAGE(F3:F11)</f>
        <v>7.0600247300009633E-2</v>
      </c>
      <c r="G12" s="98"/>
      <c r="H12" s="98"/>
      <c r="I12" s="98"/>
      <c r="J12" s="98"/>
      <c r="S12" s="28" t="s">
        <v>174</v>
      </c>
      <c r="T12" s="37">
        <f>MIN(C3:C11)</f>
        <v>2.1533414626062168E-2</v>
      </c>
      <c r="V12" s="28" t="s">
        <v>134</v>
      </c>
      <c r="W12" s="84">
        <f>_xlfn.QUARTILE.INC(C3:C11,3)</f>
        <v>9.6333506299170077E-2</v>
      </c>
      <c r="Y12" s="80" t="s">
        <v>196</v>
      </c>
      <c r="Z12" s="87" t="str">
        <f>IF(Z10&lt;Z11,"no","yes")</f>
        <v>yes</v>
      </c>
    </row>
    <row r="13" spans="1:26" x14ac:dyDescent="0.3">
      <c r="A13" s="106" t="s">
        <v>96</v>
      </c>
      <c r="B13" s="106"/>
      <c r="C13" s="31">
        <f>_xlfn.STDEV.S(C3:C11)</f>
        <v>6.4594644976431137E-2</v>
      </c>
      <c r="D13" s="106" t="s">
        <v>96</v>
      </c>
      <c r="E13" s="106"/>
      <c r="F13" s="31">
        <f>_xlfn.STDEV.S(F3:F11)</f>
        <v>5.0518681483019301E-2</v>
      </c>
      <c r="G13" s="98"/>
      <c r="H13" s="98"/>
      <c r="I13" s="98"/>
      <c r="J13" s="98"/>
      <c r="S13" s="28" t="s">
        <v>175</v>
      </c>
      <c r="T13" s="37">
        <f>SUM(C3:C11)</f>
        <v>0.73406828552202774</v>
      </c>
      <c r="V13" s="28" t="s">
        <v>186</v>
      </c>
      <c r="W13" s="84" t="e">
        <f t="array" ref="W13">MAX(IF(ISBLANK(C3:C11),"",IF(C3:C11&lt;=W12+#REF!*(W12-W10),C3:C11,"")))</f>
        <v>#REF!</v>
      </c>
    </row>
    <row r="14" spans="1:26" x14ac:dyDescent="0.3">
      <c r="S14" s="28" t="s">
        <v>176</v>
      </c>
      <c r="T14" s="28">
        <f>COUNT(C3:C11)</f>
        <v>9</v>
      </c>
      <c r="V14" s="28" t="s">
        <v>100</v>
      </c>
      <c r="W14" s="86">
        <f>AVERAGE(C3:C11)</f>
        <v>8.1563142835780866E-2</v>
      </c>
    </row>
    <row r="15" spans="1:26" ht="28.8" x14ac:dyDescent="0.3">
      <c r="S15" s="28" t="s">
        <v>177</v>
      </c>
      <c r="T15" s="28">
        <f>GEOMEAN(C3:C11)</f>
        <v>6.2208451432925006E-2</v>
      </c>
    </row>
    <row r="16" spans="1:26" ht="28.8" x14ac:dyDescent="0.3">
      <c r="S16" s="28" t="s">
        <v>178</v>
      </c>
      <c r="T16" s="28">
        <f>HARMEAN(C3:C11)</f>
        <v>4.8473482351477297E-2</v>
      </c>
      <c r="V16" s="28" t="s">
        <v>183</v>
      </c>
      <c r="W16" s="62" t="e">
        <f>IF(MIN(W9)&gt;=0,0,MIN(W9))</f>
        <v>#REF!</v>
      </c>
    </row>
    <row r="17" spans="19:23" x14ac:dyDescent="0.3">
      <c r="S17" s="28" t="s">
        <v>179</v>
      </c>
      <c r="T17" s="28">
        <f>AVEDEV(C3:C11)</f>
        <v>5.0312494536370267E-2</v>
      </c>
    </row>
    <row r="18" spans="19:23" x14ac:dyDescent="0.3">
      <c r="S18" s="28" t="s">
        <v>180</v>
      </c>
      <c r="T18" s="28">
        <f>[2]!MAD(C3:C11)</f>
        <v>2.6430511515089614E-2</v>
      </c>
      <c r="V18" s="28" t="s">
        <v>184</v>
      </c>
      <c r="W18" s="37">
        <f>C5</f>
        <v>0.19956638421599496</v>
      </c>
    </row>
    <row r="19" spans="19:23" x14ac:dyDescent="0.3">
      <c r="S19" s="80" t="s">
        <v>181</v>
      </c>
      <c r="T19" s="80">
        <f>[2]!IQR(C3:C11,FALSE)</f>
        <v>5.2235958561098104E-2</v>
      </c>
      <c r="W19" s="37">
        <f>C8</f>
        <v>0.17519576340584375</v>
      </c>
    </row>
  </sheetData>
  <mergeCells count="6">
    <mergeCell ref="A1:C1"/>
    <mergeCell ref="D1:F1"/>
    <mergeCell ref="A12:B12"/>
    <mergeCell ref="D12:E12"/>
    <mergeCell ref="A13:B13"/>
    <mergeCell ref="D13:E13"/>
  </mergeCells>
  <phoneticPr fontId="3" type="noConversion"/>
  <pageMargins left="0.7" right="0.7" top="0.75" bottom="0.75" header="0.3" footer="0.3"/>
  <pageSetup paperSize="10000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3"/>
  <sheetViews>
    <sheetView tabSelected="1" topLeftCell="J1" workbookViewId="0">
      <selection activeCell="S1" sqref="S1:S2"/>
    </sheetView>
  </sheetViews>
  <sheetFormatPr defaultRowHeight="14.4" x14ac:dyDescent="0.3"/>
  <cols>
    <col min="1" max="1" width="4.88671875" customWidth="1"/>
    <col min="3" max="3" width="18.5546875" customWidth="1"/>
    <col min="7" max="7" width="9.77734375" customWidth="1"/>
    <col min="8" max="8" width="10.6640625" customWidth="1"/>
    <col min="11" max="11" width="19.33203125" customWidth="1"/>
    <col min="15" max="15" width="10" customWidth="1"/>
    <col min="16" max="16" width="12.21875" customWidth="1"/>
    <col min="19" max="19" width="26" bestFit="1" customWidth="1"/>
    <col min="20" max="20" width="11.5546875" bestFit="1" customWidth="1"/>
    <col min="21" max="21" width="7.77734375" customWidth="1"/>
    <col min="24" max="24" width="10.5546875" customWidth="1"/>
    <col min="25" max="25" width="11.5546875" bestFit="1" customWidth="1"/>
  </cols>
  <sheetData>
    <row r="1" spans="1:36" ht="24" customHeight="1" x14ac:dyDescent="0.3">
      <c r="A1" s="112" t="s">
        <v>93</v>
      </c>
      <c r="B1" s="112"/>
      <c r="C1" s="112"/>
      <c r="D1" s="112"/>
      <c r="E1" s="112"/>
      <c r="F1" s="112"/>
      <c r="G1" s="112"/>
      <c r="H1" s="52"/>
      <c r="I1" s="105" t="s">
        <v>94</v>
      </c>
      <c r="J1" s="105"/>
      <c r="K1" s="105"/>
      <c r="L1" s="105"/>
      <c r="M1" s="105"/>
      <c r="N1" s="105"/>
      <c r="O1" s="105"/>
      <c r="S1" s="110" t="s">
        <v>205</v>
      </c>
      <c r="T1" s="110" t="s">
        <v>206</v>
      </c>
      <c r="U1" s="110" t="s">
        <v>228</v>
      </c>
      <c r="V1" s="110" t="s">
        <v>100</v>
      </c>
      <c r="W1" s="110" t="s">
        <v>161</v>
      </c>
      <c r="X1" s="92" t="s">
        <v>207</v>
      </c>
      <c r="Y1" s="93" t="s">
        <v>208</v>
      </c>
      <c r="AA1" t="s">
        <v>209</v>
      </c>
    </row>
    <row r="2" spans="1:36" ht="34.799999999999997" customHeight="1" x14ac:dyDescent="0.3">
      <c r="A2" s="30" t="s">
        <v>55</v>
      </c>
      <c r="B2" s="30" t="s">
        <v>91</v>
      </c>
      <c r="C2" s="30" t="s">
        <v>92</v>
      </c>
      <c r="D2" s="51" t="s">
        <v>155</v>
      </c>
      <c r="E2" s="51" t="s">
        <v>162</v>
      </c>
      <c r="F2" s="51" t="str">
        <f>'Fisik &amp; C'!M1</f>
        <v>Carbon (%)</v>
      </c>
      <c r="G2" s="51" t="s">
        <v>163</v>
      </c>
      <c r="H2" s="51" t="s">
        <v>204</v>
      </c>
      <c r="I2" s="30" t="s">
        <v>55</v>
      </c>
      <c r="J2" s="30" t="s">
        <v>91</v>
      </c>
      <c r="K2" s="30" t="s">
        <v>92</v>
      </c>
      <c r="L2" s="51" t="s">
        <v>155</v>
      </c>
      <c r="M2" s="51" t="s">
        <v>162</v>
      </c>
      <c r="N2" s="51" t="str">
        <f>'Fisik &amp; C'!M1</f>
        <v>Carbon (%)</v>
      </c>
      <c r="O2" s="51" t="s">
        <v>163</v>
      </c>
      <c r="P2" s="28" t="s">
        <v>204</v>
      </c>
      <c r="S2" s="111"/>
      <c r="T2" s="111"/>
      <c r="U2" s="111"/>
      <c r="V2" s="111"/>
      <c r="W2" s="111"/>
      <c r="X2" s="94" t="s">
        <v>229</v>
      </c>
      <c r="Y2" s="94" t="s">
        <v>229</v>
      </c>
      <c r="AA2" t="str">
        <f>S3</f>
        <v>Konduktivitas Hidrolik (m/hari)</v>
      </c>
    </row>
    <row r="3" spans="1:36" ht="14.4" customHeight="1" thickBot="1" x14ac:dyDescent="0.35">
      <c r="A3" s="28">
        <v>1</v>
      </c>
      <c r="B3" s="10" t="s">
        <v>140</v>
      </c>
      <c r="C3" s="61">
        <f>AVERAGE('Resume KH'!C3:C5)</f>
        <v>8.9966422001543964E-2</v>
      </c>
      <c r="D3" s="49">
        <f>'Fisik &amp; C'!J4</f>
        <v>0.11639015151515153</v>
      </c>
      <c r="E3" s="49">
        <f>'Fisik &amp; C'!L4</f>
        <v>66.931060606060612</v>
      </c>
      <c r="F3" s="49">
        <f>'Fisik &amp; C'!M4</f>
        <v>51.650000000000006</v>
      </c>
      <c r="G3" s="49">
        <f>'Peat Dept, Subsiden'!I2</f>
        <v>5.6666666666666288</v>
      </c>
      <c r="H3" s="49">
        <f>'Loss C'!E3</f>
        <v>34.06545751262604</v>
      </c>
      <c r="I3" s="28">
        <v>1</v>
      </c>
      <c r="J3" s="28" t="s">
        <v>127</v>
      </c>
      <c r="K3" s="61">
        <f>AVERAGE('Resume KH'!F3:F5)</f>
        <v>5.3933112588416619E-2</v>
      </c>
      <c r="L3" s="49">
        <f>'Fisik &amp; C'!J16</f>
        <v>0.11068910256410255</v>
      </c>
      <c r="M3" s="49">
        <f>'Fisik &amp; C'!L16</f>
        <v>87.259615384615387</v>
      </c>
      <c r="N3" s="49">
        <f>'Fisik &amp; C'!M16</f>
        <v>49.745000000000005</v>
      </c>
      <c r="O3" s="49">
        <f>'Peat Dept, Subsiden'!I11</f>
        <v>2.3333333333333712</v>
      </c>
      <c r="P3" s="79">
        <f>'Loss C'!E6</f>
        <v>12.847868616453201</v>
      </c>
      <c r="S3" s="108" t="s">
        <v>92</v>
      </c>
      <c r="T3" s="95" t="s">
        <v>93</v>
      </c>
      <c r="U3" s="95">
        <v>3</v>
      </c>
      <c r="V3" s="96">
        <f>AVERAGE(C3:C5)</f>
        <v>8.1563142835780866E-2</v>
      </c>
      <c r="W3" s="96">
        <f>STDEV(C3:C5)</f>
        <v>3.8956527018703724E-2</v>
      </c>
      <c r="X3" s="96">
        <f>K11</f>
        <v>0.6411105582499701</v>
      </c>
      <c r="Y3" s="107">
        <f>AE12</f>
        <v>0.74918059202027165</v>
      </c>
      <c r="AA3" t="s">
        <v>210</v>
      </c>
      <c r="AD3" t="s">
        <v>211</v>
      </c>
      <c r="AE3">
        <v>0</v>
      </c>
    </row>
    <row r="4" spans="1:36" ht="15" thickTop="1" x14ac:dyDescent="0.3">
      <c r="A4" s="28">
        <v>2</v>
      </c>
      <c r="B4" s="10" t="s">
        <v>137</v>
      </c>
      <c r="C4" s="61">
        <f>AVERAGE('Resume KH'!C6:C8)</f>
        <v>0.1156322449729873</v>
      </c>
      <c r="D4" s="49">
        <f>'Fisik &amp; C'!J8</f>
        <v>0.12283855799373042</v>
      </c>
      <c r="E4" s="49">
        <f>'Fisik &amp; C'!L8</f>
        <v>77.671003134796251</v>
      </c>
      <c r="F4" s="49">
        <f>'Fisik &amp; C'!M8</f>
        <v>51.115000000000002</v>
      </c>
      <c r="G4" s="49">
        <f>'Peat Dept, Subsiden'!I5</f>
        <v>6.3333333333333712</v>
      </c>
      <c r="H4" s="49">
        <f>'Loss C'!E4</f>
        <v>39.766321648380597</v>
      </c>
      <c r="I4" s="28">
        <v>2</v>
      </c>
      <c r="J4" s="28" t="s">
        <v>131</v>
      </c>
      <c r="K4" s="61">
        <f>AVERAGE('Resume KH'!F6:F8)</f>
        <v>4.2235384338624914E-2</v>
      </c>
      <c r="L4" s="49">
        <f>'Fisik &amp; C'!J20</f>
        <v>8.0378787878787869E-2</v>
      </c>
      <c r="M4" s="49">
        <f>'Fisik &amp; C'!L20</f>
        <v>81.045670995671003</v>
      </c>
      <c r="N4" s="49">
        <f>'Fisik &amp; C'!M20</f>
        <v>54.875</v>
      </c>
      <c r="O4" s="49">
        <f>'Peat Dept, Subsiden'!I14</f>
        <v>1.6666666666666856</v>
      </c>
      <c r="P4" s="79">
        <f>'Loss C'!E7</f>
        <v>7.351309974747557</v>
      </c>
      <c r="S4" s="109"/>
      <c r="T4" s="95" t="s">
        <v>94</v>
      </c>
      <c r="U4" s="95">
        <v>3</v>
      </c>
      <c r="V4" s="96">
        <f>AVERAGE(K3:K5)</f>
        <v>7.0600247300009619E-2</v>
      </c>
      <c r="W4" s="96">
        <f>STDEV(K3:K5)</f>
        <v>3.9435007574055228E-2</v>
      </c>
      <c r="X4" s="96">
        <f>K34</f>
        <v>0.28431178020427839</v>
      </c>
      <c r="Y4" s="107"/>
      <c r="AA4" s="89" t="s">
        <v>212</v>
      </c>
      <c r="AB4" s="89" t="s">
        <v>176</v>
      </c>
      <c r="AC4" s="89" t="s">
        <v>100</v>
      </c>
      <c r="AD4" s="89" t="s">
        <v>101</v>
      </c>
      <c r="AE4" s="89" t="s">
        <v>213</v>
      </c>
    </row>
    <row r="5" spans="1:36" x14ac:dyDescent="0.3">
      <c r="A5" s="28">
        <v>3</v>
      </c>
      <c r="B5" s="10" t="s">
        <v>132</v>
      </c>
      <c r="C5" s="61">
        <f>AVERAGE('Resume KH'!C9:C11)</f>
        <v>3.9090761532811331E-2</v>
      </c>
      <c r="D5" s="49">
        <f>'Fisik &amp; C'!J12</f>
        <v>0.13325555555555557</v>
      </c>
      <c r="E5" s="49">
        <f>'Fisik &amp; C'!L12</f>
        <v>68.432037037037048</v>
      </c>
      <c r="F5" s="49">
        <f>'Fisik &amp; C'!M12</f>
        <v>52.66</v>
      </c>
      <c r="G5" s="49">
        <f>'Peat Dept, Subsiden'!I8</f>
        <v>4.6666666666666288</v>
      </c>
      <c r="H5" s="49">
        <f>'Loss C'!E5</f>
        <v>32.747108592592326</v>
      </c>
      <c r="I5" s="28">
        <v>3</v>
      </c>
      <c r="J5" s="28" t="s">
        <v>141</v>
      </c>
      <c r="K5" s="61">
        <f>AVERAGE('Resume KH'!F9:F11)</f>
        <v>0.1156322449729873</v>
      </c>
      <c r="L5" s="49">
        <f>'Fisik &amp; C'!J24</f>
        <v>9.3457284515636924E-2</v>
      </c>
      <c r="M5" s="49">
        <f>'Fisik &amp; C'!L24</f>
        <v>87.361338127928519</v>
      </c>
      <c r="N5" s="49">
        <f>'Fisik &amp; C'!M24</f>
        <v>53.644999999999996</v>
      </c>
      <c r="O5" s="49">
        <f>'Peat Dept, Subsiden'!I17</f>
        <v>1.5</v>
      </c>
      <c r="P5" s="79">
        <f>'Loss C'!E8</f>
        <v>7.5202740417620149</v>
      </c>
      <c r="S5" s="108" t="s">
        <v>230</v>
      </c>
      <c r="T5" s="95" t="s">
        <v>93</v>
      </c>
      <c r="U5" s="95">
        <v>3</v>
      </c>
      <c r="V5" s="96">
        <f>AVERAGE(D3:D5)</f>
        <v>0.12416142168814585</v>
      </c>
      <c r="W5" s="96">
        <f>STDEV(D3:D5)</f>
        <v>8.5101668389650897E-3</v>
      </c>
      <c r="X5" s="96">
        <f>L11</f>
        <v>0.74211194313221618</v>
      </c>
      <c r="Y5" s="107">
        <f>AE31</f>
        <v>4.3467729264307343E-2</v>
      </c>
      <c r="AA5" t="str">
        <f>C2</f>
        <v>Konduktivitas Hidrolik (m/hari)</v>
      </c>
      <c r="AB5">
        <f>COUNT(C3:C5)</f>
        <v>3</v>
      </c>
      <c r="AC5" s="49">
        <f>AVERAGE(C3:C5)</f>
        <v>8.1563142835780866E-2</v>
      </c>
      <c r="AD5">
        <f>_xlfn.VAR.S(C3:C5)</f>
        <v>1.5176109973589931E-3</v>
      </c>
    </row>
    <row r="6" spans="1:36" x14ac:dyDescent="0.3">
      <c r="S6" s="109"/>
      <c r="T6" s="95" t="s">
        <v>94</v>
      </c>
      <c r="U6" s="95">
        <v>3</v>
      </c>
      <c r="V6" s="96">
        <f>AVERAGE(L3:L5)</f>
        <v>9.4841724986175782E-2</v>
      </c>
      <c r="W6" s="96">
        <f>STDEV(L3:L5)</f>
        <v>1.5202509682386223E-2</v>
      </c>
      <c r="X6" s="96">
        <f>L34</f>
        <v>0.84921952075962026</v>
      </c>
      <c r="Y6" s="107"/>
      <c r="AA6" t="str">
        <f>K2</f>
        <v>Konduktivitas Hidrolik (m/hari)</v>
      </c>
      <c r="AB6">
        <f>COUNT(K3:K5)</f>
        <v>3</v>
      </c>
      <c r="AC6" s="49">
        <f>AVERAGE(K3:K5)</f>
        <v>7.0600247300009619E-2</v>
      </c>
      <c r="AD6">
        <f>_xlfn.VAR.S(K3:K5)</f>
        <v>1.5551198223657933E-3</v>
      </c>
    </row>
    <row r="7" spans="1:36" x14ac:dyDescent="0.3">
      <c r="B7" t="s">
        <v>164</v>
      </c>
      <c r="J7" t="s">
        <v>192</v>
      </c>
      <c r="S7" s="108" t="s">
        <v>162</v>
      </c>
      <c r="T7" s="95" t="s">
        <v>93</v>
      </c>
      <c r="U7" s="95">
        <v>3</v>
      </c>
      <c r="V7" s="96">
        <f>AVERAGE(E3:E5)</f>
        <v>71.011366925964637</v>
      </c>
      <c r="W7" s="96">
        <f>STDEV(E3:E5)</f>
        <v>5.8160380317766602</v>
      </c>
      <c r="X7" s="96">
        <f>M11</f>
        <v>0.24713205763905297</v>
      </c>
      <c r="Y7" s="107">
        <f>AE55</f>
        <v>3.0866827725515966E-2</v>
      </c>
      <c r="AA7" s="73" t="s">
        <v>214</v>
      </c>
      <c r="AB7" s="73"/>
      <c r="AC7" s="73"/>
      <c r="AD7" s="73">
        <f>((AB5-1)*AD5+(AB6-1)*AD6)/(AB5+AB6-2)</f>
        <v>1.5363654098623932E-3</v>
      </c>
      <c r="AE7" s="73">
        <f>ABS(AC5-AC6-AE3)/SQRT(AD7)</f>
        <v>0.27969069324685003</v>
      </c>
    </row>
    <row r="8" spans="1:36" x14ac:dyDescent="0.3">
      <c r="A8" s="112" t="s">
        <v>93</v>
      </c>
      <c r="B8" s="112"/>
      <c r="C8" s="112"/>
      <c r="D8" s="112"/>
      <c r="E8" s="112"/>
      <c r="F8" s="112"/>
      <c r="G8" s="112"/>
      <c r="J8" s="112" t="s">
        <v>93</v>
      </c>
      <c r="K8" s="112"/>
      <c r="L8" s="112"/>
      <c r="M8" s="112"/>
      <c r="N8" s="112"/>
      <c r="O8" s="112"/>
      <c r="P8" s="112"/>
      <c r="S8" s="109"/>
      <c r="T8" s="95" t="s">
        <v>94</v>
      </c>
      <c r="U8" s="95">
        <v>3</v>
      </c>
      <c r="V8" s="96">
        <f>AVERAGE(M3:M5)</f>
        <v>85.222208169404965</v>
      </c>
      <c r="W8" s="96">
        <f>STDEV(M3:M5)</f>
        <v>3.6173448759847426</v>
      </c>
      <c r="X8" s="96">
        <f>M34</f>
        <v>2.6853438650829835E-2</v>
      </c>
      <c r="Y8" s="107"/>
    </row>
    <row r="9" spans="1:36" ht="15" thickBot="1" x14ac:dyDescent="0.35">
      <c r="B9" s="54"/>
      <c r="C9" s="54" t="str">
        <f>C2</f>
        <v>Konduktivitas Hidrolik (m/hari)</v>
      </c>
      <c r="D9" s="54" t="str">
        <f t="shared" ref="D9:H9" si="0">D2</f>
        <v>BI (g/cm3)</v>
      </c>
      <c r="E9" s="54" t="str">
        <f t="shared" si="0"/>
        <v>Kadar Air (%Vol)</v>
      </c>
      <c r="F9" s="54" t="str">
        <f t="shared" si="0"/>
        <v>Carbon (%)</v>
      </c>
      <c r="G9" s="54" t="str">
        <f t="shared" si="0"/>
        <v>Subsiden (cm/tahun)</v>
      </c>
      <c r="H9" s="54" t="str">
        <f t="shared" si="0"/>
        <v>Loss Carbon (t C ha-1)</v>
      </c>
      <c r="J9" s="54"/>
      <c r="K9" s="54" t="str">
        <f>C2</f>
        <v>Konduktivitas Hidrolik (m/hari)</v>
      </c>
      <c r="L9" s="54" t="str">
        <f t="shared" ref="L9:P9" si="1">D2</f>
        <v>BI (g/cm3)</v>
      </c>
      <c r="M9" s="54" t="str">
        <f t="shared" si="1"/>
        <v>Kadar Air (%Vol)</v>
      </c>
      <c r="N9" s="54" t="str">
        <f t="shared" si="1"/>
        <v>Carbon (%)</v>
      </c>
      <c r="O9" s="54" t="str">
        <f t="shared" si="1"/>
        <v>Subsiden (cm/tahun)</v>
      </c>
      <c r="P9" s="54" t="str">
        <f t="shared" si="1"/>
        <v>Loss Carbon (t C ha-1)</v>
      </c>
      <c r="S9" s="108" t="s">
        <v>200</v>
      </c>
      <c r="T9" s="95" t="s">
        <v>93</v>
      </c>
      <c r="U9" s="95">
        <v>3</v>
      </c>
      <c r="V9" s="96">
        <f>AVERAGE(F3:F5)</f>
        <v>51.808333333333337</v>
      </c>
      <c r="W9" s="96">
        <f>STDEV(F3:F5)</f>
        <v>0.78457525664102368</v>
      </c>
      <c r="X9" s="96">
        <f>N11</f>
        <v>0.66448874020525261</v>
      </c>
      <c r="Y9" s="107">
        <f>AE69</f>
        <v>0.58842085713725756</v>
      </c>
      <c r="AA9" t="s">
        <v>215</v>
      </c>
      <c r="AE9" t="s">
        <v>216</v>
      </c>
      <c r="AF9">
        <v>0.05</v>
      </c>
    </row>
    <row r="10" spans="1:36" ht="15" thickTop="1" x14ac:dyDescent="0.3">
      <c r="B10" t="s">
        <v>100</v>
      </c>
      <c r="C10" s="49">
        <f>AVERAGE(C3:C5)</f>
        <v>8.1563142835780866E-2</v>
      </c>
      <c r="D10" s="49">
        <f t="shared" ref="D10:H10" si="2">AVERAGE(D3:D5)</f>
        <v>0.12416142168814585</v>
      </c>
      <c r="E10" s="49">
        <f t="shared" si="2"/>
        <v>71.011366925964637</v>
      </c>
      <c r="F10" s="49">
        <f t="shared" si="2"/>
        <v>51.808333333333337</v>
      </c>
      <c r="G10" s="49">
        <f t="shared" si="2"/>
        <v>5.5555555555555429</v>
      </c>
      <c r="H10" s="49">
        <f t="shared" si="2"/>
        <v>35.526295917866321</v>
      </c>
      <c r="J10" t="s">
        <v>193</v>
      </c>
      <c r="K10">
        <f>[2]!SHAPIRO(C3:C5)</f>
        <v>0.96510217332012216</v>
      </c>
      <c r="L10">
        <f>[2]!SHAPIRO(D3:D5)</f>
        <v>0.98187761678466656</v>
      </c>
      <c r="M10">
        <f>[2]!SHAPIRO(E3:E5)</f>
        <v>0.85249030355496036</v>
      </c>
      <c r="N10">
        <f>[2]!SHAPIRO(F3:F5)</f>
        <v>0.9694552371153573</v>
      </c>
      <c r="O10">
        <f>[2]!SHAPIRO(G3:G5)</f>
        <v>0.98684210526316518</v>
      </c>
      <c r="P10">
        <f>[2]!SHAPIRO(H3:H5)</f>
        <v>0.88500136127763562</v>
      </c>
      <c r="S10" s="109"/>
      <c r="T10" s="95" t="s">
        <v>94</v>
      </c>
      <c r="U10" s="95">
        <v>3</v>
      </c>
      <c r="V10" s="96">
        <f>AVERAGE(N3:N5)</f>
        <v>52.754999999999995</v>
      </c>
      <c r="W10" s="96">
        <f>STDEV(N3:N5)</f>
        <v>2.6783017007051284</v>
      </c>
      <c r="X10" s="96">
        <f>N34</f>
        <v>0.44249521694252708</v>
      </c>
      <c r="Y10" s="107"/>
      <c r="AA10" s="89" t="s">
        <v>217</v>
      </c>
      <c r="AB10" s="89" t="s">
        <v>218</v>
      </c>
      <c r="AC10" s="89" t="s">
        <v>219</v>
      </c>
      <c r="AD10" s="89" t="s">
        <v>105</v>
      </c>
      <c r="AE10" s="89" t="s">
        <v>194</v>
      </c>
      <c r="AF10" s="89" t="s">
        <v>220</v>
      </c>
      <c r="AG10" s="89" t="s">
        <v>221</v>
      </c>
      <c r="AH10" s="89" t="s">
        <v>222</v>
      </c>
      <c r="AI10" s="89" t="s">
        <v>223</v>
      </c>
      <c r="AJ10" s="89" t="s">
        <v>224</v>
      </c>
    </row>
    <row r="11" spans="1:36" x14ac:dyDescent="0.3">
      <c r="B11" t="s">
        <v>165</v>
      </c>
      <c r="C11">
        <f>_xlfn.STDEV.S(C3:C5)/SQRT(COUNT(C3:C5))</f>
        <v>2.2491561360941527E-2</v>
      </c>
      <c r="D11">
        <f t="shared" ref="D11:H11" si="3">_xlfn.STDEV.S(D3:D5)/SQRT(COUNT(D3:D5))</f>
        <v>4.9133471153251212E-3</v>
      </c>
      <c r="E11">
        <f t="shared" si="3"/>
        <v>3.3578911232633564</v>
      </c>
      <c r="F11">
        <f t="shared" si="3"/>
        <v>0.45297473562121476</v>
      </c>
      <c r="G11">
        <f t="shared" si="3"/>
        <v>0.48432210483787175</v>
      </c>
      <c r="H11">
        <f t="shared" si="3"/>
        <v>2.1539014690638205</v>
      </c>
      <c r="J11" t="s">
        <v>194</v>
      </c>
      <c r="K11">
        <f>[2]!SWTEST(C3:C5)</f>
        <v>0.6411105582499701</v>
      </c>
      <c r="L11">
        <f>[2]!SWTEST(D3:D5)</f>
        <v>0.74211194313221618</v>
      </c>
      <c r="M11">
        <f>[2]!SWTEST(E3:E5)</f>
        <v>0.24713205763905297</v>
      </c>
      <c r="N11">
        <f>[2]!SWTEST(F3:F5)</f>
        <v>0.66448874020525261</v>
      </c>
      <c r="O11">
        <f>[2]!SWTEST(G3:G5)</f>
        <v>0.78043982814767643</v>
      </c>
      <c r="P11">
        <f>[2]!SWTEST(H3:H5)</f>
        <v>0.33923464213599919</v>
      </c>
      <c r="S11" s="108" t="s">
        <v>163</v>
      </c>
      <c r="T11" s="95" t="s">
        <v>93</v>
      </c>
      <c r="U11" s="95">
        <v>3</v>
      </c>
      <c r="V11" s="96">
        <f>AVERAGE(G3:G5)</f>
        <v>5.5555555555555429</v>
      </c>
      <c r="W11" s="96">
        <f>STDEV(G3:G5)</f>
        <v>0.83887049280789416</v>
      </c>
      <c r="X11" s="96">
        <f>O11</f>
        <v>0.78043982814767643</v>
      </c>
      <c r="Y11" s="107">
        <f>AE88</f>
        <v>2.4394181509683204E-3</v>
      </c>
      <c r="AA11" t="s">
        <v>225</v>
      </c>
      <c r="AB11">
        <f>SQRT(AD7*(1/AB5+1/AB6))</f>
        <v>3.2003806126380166E-2</v>
      </c>
      <c r="AC11">
        <f>(ABS(AC5-AC6-AE3))/AB11</f>
        <v>0.34254974213003769</v>
      </c>
      <c r="AD11">
        <f>AB5+AB6-2</f>
        <v>4</v>
      </c>
      <c r="AE11">
        <f>_xlfn.T.DIST.RT(AC11,AD11)</f>
        <v>0.37459029601013583</v>
      </c>
      <c r="AF11">
        <f>_xlfn.T.INV.2T(AF9*2,AD11)</f>
        <v>2.1318467863266499</v>
      </c>
      <c r="AI11" s="90" t="str">
        <f>IF(AE11&lt;AF9,"yes","no")</f>
        <v>no</v>
      </c>
      <c r="AJ11">
        <f>SQRT(AC11^2/(AC11^2+AD11))</f>
        <v>0.16881664383056857</v>
      </c>
    </row>
    <row r="12" spans="1:36" x14ac:dyDescent="0.3">
      <c r="B12" t="s">
        <v>166</v>
      </c>
      <c r="C12" s="49">
        <f>MEDIAN(C3:C5)</f>
        <v>8.9966422001543964E-2</v>
      </c>
      <c r="D12" s="49">
        <f t="shared" ref="D12:H12" si="4">MEDIAN(D3:D5)</f>
        <v>0.12283855799373042</v>
      </c>
      <c r="E12" s="49">
        <f t="shared" si="4"/>
        <v>68.432037037037048</v>
      </c>
      <c r="F12" s="49">
        <f t="shared" si="4"/>
        <v>51.650000000000006</v>
      </c>
      <c r="G12" s="49">
        <f t="shared" si="4"/>
        <v>5.6666666666666288</v>
      </c>
      <c r="H12" s="49">
        <f t="shared" si="4"/>
        <v>34.06545751262604</v>
      </c>
      <c r="J12" t="s">
        <v>195</v>
      </c>
      <c r="K12">
        <v>0.05</v>
      </c>
      <c r="L12">
        <v>0.05</v>
      </c>
      <c r="M12">
        <v>0.05</v>
      </c>
      <c r="N12">
        <v>0.05</v>
      </c>
      <c r="O12">
        <v>0.05</v>
      </c>
      <c r="P12">
        <v>0.05</v>
      </c>
      <c r="S12" s="109"/>
      <c r="T12" s="95" t="s">
        <v>94</v>
      </c>
      <c r="U12" s="95">
        <v>3</v>
      </c>
      <c r="V12" s="96">
        <f>AVERAGE(O3:O5)</f>
        <v>1.8333333333333524</v>
      </c>
      <c r="W12" s="96">
        <f>STDEV(O3:O5)</f>
        <v>0.44095855184411681</v>
      </c>
      <c r="X12" s="96">
        <f>O34</f>
        <v>0.36311223753048966</v>
      </c>
      <c r="Y12" s="107"/>
      <c r="AA12" t="s">
        <v>226</v>
      </c>
      <c r="AB12">
        <f>AB11</f>
        <v>3.2003806126380166E-2</v>
      </c>
      <c r="AC12">
        <f t="shared" ref="AC12:AD12" si="5">AC11</f>
        <v>0.34254974213003769</v>
      </c>
      <c r="AD12">
        <f t="shared" si="5"/>
        <v>4</v>
      </c>
      <c r="AE12">
        <f>_xlfn.T.DIST.2T(AC12,AD12)</f>
        <v>0.74918059202027165</v>
      </c>
      <c r="AF12">
        <f>_xlfn.T.INV.2T(AF9,AD12)</f>
        <v>2.7764451051977934</v>
      </c>
      <c r="AG12">
        <f>(AC5-AC6)-AF12*AB12</f>
        <v>-7.7893915331516114E-2</v>
      </c>
      <c r="AH12">
        <f>(AC5-AC6)+AF12*AB12</f>
        <v>9.9819706403058608E-2</v>
      </c>
      <c r="AI12" s="90" t="str">
        <f>IF(AE12&lt;AF9,"yes","no")</f>
        <v>no</v>
      </c>
      <c r="AJ12">
        <f>AJ11</f>
        <v>0.16881664383056857</v>
      </c>
    </row>
    <row r="13" spans="1:36" x14ac:dyDescent="0.3">
      <c r="B13" t="s">
        <v>167</v>
      </c>
      <c r="C13" t="e">
        <f>MODE(C3:C5)</f>
        <v>#N/A</v>
      </c>
      <c r="D13" t="e">
        <f t="shared" ref="D13:H13" si="6">MODE(D3:D5)</f>
        <v>#N/A</v>
      </c>
      <c r="E13" t="e">
        <f t="shared" si="6"/>
        <v>#N/A</v>
      </c>
      <c r="F13" t="e">
        <f t="shared" si="6"/>
        <v>#N/A</v>
      </c>
      <c r="G13" t="e">
        <f t="shared" si="6"/>
        <v>#N/A</v>
      </c>
      <c r="H13" t="e">
        <f t="shared" si="6"/>
        <v>#N/A</v>
      </c>
      <c r="J13" s="53" t="s">
        <v>196</v>
      </c>
      <c r="K13" s="59" t="str">
        <f>IF(K11&lt;K12,"no","yes")</f>
        <v>yes</v>
      </c>
      <c r="L13" s="59" t="str">
        <f t="shared" ref="L13:P13" si="7">IF(L11&lt;L12,"no","yes")</f>
        <v>yes</v>
      </c>
      <c r="M13" s="59" t="str">
        <f t="shared" si="7"/>
        <v>yes</v>
      </c>
      <c r="N13" s="59" t="str">
        <f t="shared" si="7"/>
        <v>yes</v>
      </c>
      <c r="O13" s="59" t="str">
        <f t="shared" si="7"/>
        <v>yes</v>
      </c>
      <c r="P13" s="59" t="str">
        <f t="shared" si="7"/>
        <v>yes</v>
      </c>
      <c r="S13" s="108" t="s">
        <v>231</v>
      </c>
      <c r="T13" s="95" t="s">
        <v>93</v>
      </c>
      <c r="U13" s="95">
        <v>3</v>
      </c>
      <c r="V13" s="96">
        <f>AVERAGE(H3:H5)</f>
        <v>35.526295917866321</v>
      </c>
      <c r="W13" s="96">
        <f>STDEV(H3:H5)</f>
        <v>3.7306667789157815</v>
      </c>
      <c r="X13" s="96">
        <f>P11</f>
        <v>0.33923464213599919</v>
      </c>
      <c r="Y13" s="107">
        <f>AE107</f>
        <v>7.2723238351447264E-4</v>
      </c>
      <c r="AA13" s="73"/>
      <c r="AB13" s="73"/>
      <c r="AC13" s="73"/>
      <c r="AD13" s="73"/>
      <c r="AE13" s="73"/>
      <c r="AF13" s="73"/>
      <c r="AG13" s="73"/>
      <c r="AH13" s="73"/>
      <c r="AI13" s="73"/>
      <c r="AJ13" s="73"/>
    </row>
    <row r="14" spans="1:36" ht="15" thickBot="1" x14ac:dyDescent="0.35">
      <c r="B14" t="s">
        <v>168</v>
      </c>
      <c r="C14">
        <f>_xlfn.STDEV.S(C3:C5)</f>
        <v>3.8956527018703724E-2</v>
      </c>
      <c r="D14">
        <f t="shared" ref="D14:H14" si="8">_xlfn.STDEV.S(D3:D5)</f>
        <v>8.5101668389650897E-3</v>
      </c>
      <c r="E14">
        <f t="shared" si="8"/>
        <v>5.8160380317766602</v>
      </c>
      <c r="F14">
        <f t="shared" si="8"/>
        <v>0.78457525664102368</v>
      </c>
      <c r="G14">
        <f t="shared" si="8"/>
        <v>0.83887049280789416</v>
      </c>
      <c r="H14">
        <f t="shared" si="8"/>
        <v>3.7306667789157815</v>
      </c>
      <c r="S14" s="109"/>
      <c r="T14" s="95" t="s">
        <v>94</v>
      </c>
      <c r="U14" s="95">
        <v>3</v>
      </c>
      <c r="V14" s="97">
        <f>AVERAGE(P3:P5)</f>
        <v>9.2398175443209247</v>
      </c>
      <c r="W14" s="96">
        <f>STDEV(P3:P5)</f>
        <v>3.1258057550528742</v>
      </c>
      <c r="X14" s="96">
        <f>P34</f>
        <v>5.1623726924151132E-2</v>
      </c>
      <c r="Y14" s="107"/>
      <c r="AA14" t="s">
        <v>227</v>
      </c>
      <c r="AE14" t="s">
        <v>216</v>
      </c>
      <c r="AF14">
        <f>AF9</f>
        <v>0.05</v>
      </c>
    </row>
    <row r="15" spans="1:36" ht="15" thickTop="1" x14ac:dyDescent="0.3">
      <c r="B15" t="s">
        <v>169</v>
      </c>
      <c r="C15">
        <f>_xlfn.VAR.S(C3:C5)</f>
        <v>1.5176109973589931E-3</v>
      </c>
      <c r="D15">
        <f t="shared" ref="D15:H15" si="9">_xlfn.VAR.S(D3:D5)</f>
        <v>7.2422939627021066E-5</v>
      </c>
      <c r="E15">
        <f t="shared" si="9"/>
        <v>33.826298387072526</v>
      </c>
      <c r="F15">
        <f t="shared" si="9"/>
        <v>0.6155583333333281</v>
      </c>
      <c r="G15">
        <f t="shared" si="9"/>
        <v>0.70370370370375923</v>
      </c>
      <c r="H15">
        <f t="shared" si="9"/>
        <v>13.917874615305854</v>
      </c>
      <c r="J15" t="s">
        <v>197</v>
      </c>
      <c r="AA15" s="89" t="s">
        <v>217</v>
      </c>
      <c r="AB15" s="89" t="s">
        <v>218</v>
      </c>
      <c r="AC15" s="89" t="s">
        <v>219</v>
      </c>
      <c r="AD15" s="89" t="s">
        <v>105</v>
      </c>
      <c r="AE15" s="89" t="s">
        <v>194</v>
      </c>
      <c r="AF15" s="89" t="s">
        <v>220</v>
      </c>
      <c r="AG15" s="89" t="s">
        <v>221</v>
      </c>
      <c r="AH15" s="89" t="s">
        <v>222</v>
      </c>
      <c r="AI15" s="89" t="s">
        <v>223</v>
      </c>
      <c r="AJ15" s="89" t="s">
        <v>224</v>
      </c>
    </row>
    <row r="16" spans="1:36" x14ac:dyDescent="0.3">
      <c r="B16" t="s">
        <v>170</v>
      </c>
      <c r="C16" t="e">
        <f>KURT(C3:C5)</f>
        <v>#DIV/0!</v>
      </c>
      <c r="D16" t="e">
        <f t="shared" ref="D16:H16" si="10">KURT(D3:D5)</f>
        <v>#DIV/0!</v>
      </c>
      <c r="E16" t="e">
        <f t="shared" si="10"/>
        <v>#DIV/0!</v>
      </c>
      <c r="F16" t="e">
        <f t="shared" si="10"/>
        <v>#DIV/0!</v>
      </c>
      <c r="G16" t="e">
        <f t="shared" si="10"/>
        <v>#DIV/0!</v>
      </c>
      <c r="H16" t="e">
        <f t="shared" si="10"/>
        <v>#DIV/0!</v>
      </c>
      <c r="AA16" t="s">
        <v>225</v>
      </c>
      <c r="AB16">
        <f>SQRT(AD5/AB5+AD6/AB6)</f>
        <v>3.2003806126380173E-2</v>
      </c>
      <c r="AC16">
        <f>(ABS(AC5-AC6-AE3))/AB16</f>
        <v>0.34254974213003764</v>
      </c>
      <c r="AD16">
        <f>(AD5/AB5+AD6/AB6)^2/((AD5/AB5)^2/(AB5-1)+(AD6/AB6)^2/(AB6-1))</f>
        <v>3.9994040454111826</v>
      </c>
      <c r="AE16">
        <f>[2]!T_DIST_RT(AC16,AD16)</f>
        <v>0.37459151619642622</v>
      </c>
      <c r="AF16">
        <f>[2]!T_INV(1-AF14,AD16)</f>
        <v>2.1319380623529085</v>
      </c>
      <c r="AI16" s="90" t="str">
        <f>IF(AE16&lt;AF14,"yes","no")</f>
        <v>no</v>
      </c>
      <c r="AJ16">
        <f>SQRT(AC16^2/(AC16^2+AD16))</f>
        <v>0.16882886263791871</v>
      </c>
    </row>
    <row r="17" spans="2:36" x14ac:dyDescent="0.3">
      <c r="B17" t="s">
        <v>171</v>
      </c>
      <c r="C17">
        <f>SKEW(C3:C5)</f>
        <v>-0.92552447371416358</v>
      </c>
      <c r="D17">
        <f t="shared" ref="D17:H17" si="11">SKEW(D3:D5)</f>
        <v>0.6826007148767741</v>
      </c>
      <c r="E17">
        <f t="shared" si="11"/>
        <v>1.6031751229181515</v>
      </c>
      <c r="F17">
        <f t="shared" si="11"/>
        <v>0.87114966916713721</v>
      </c>
      <c r="G17">
        <f t="shared" si="11"/>
        <v>-0.58558272628123509</v>
      </c>
      <c r="H17">
        <f t="shared" si="11"/>
        <v>1.4919065640118427</v>
      </c>
      <c r="J17" s="73" t="s">
        <v>198</v>
      </c>
      <c r="K17" s="73" t="e">
        <f>[2]!DAGOSTINO(C3:C5)</f>
        <v>#N/A</v>
      </c>
      <c r="L17" s="73" t="e">
        <f>[2]!DAGOSTINO(D3:D5)</f>
        <v>#N/A</v>
      </c>
      <c r="M17" s="73" t="e">
        <f>[2]!DAGOSTINO(E3:E5)</f>
        <v>#N/A</v>
      </c>
      <c r="N17" s="73" t="e">
        <f>[2]!DAGOSTINO(F3:F5)</f>
        <v>#N/A</v>
      </c>
      <c r="O17" s="73" t="e">
        <f>[2]!DAGOSTINO(G3:G5)</f>
        <v>#N/A</v>
      </c>
      <c r="P17" s="73" t="e">
        <f>[2]!DAGOSTINO(H3:H5)</f>
        <v>#N/A</v>
      </c>
      <c r="AA17" t="s">
        <v>226</v>
      </c>
      <c r="AB17">
        <f>AB16</f>
        <v>3.2003806126380173E-2</v>
      </c>
      <c r="AC17">
        <f t="shared" ref="AC17:AD17" si="12">AC16</f>
        <v>0.34254974213003764</v>
      </c>
      <c r="AD17">
        <f t="shared" si="12"/>
        <v>3.9994040454111826</v>
      </c>
      <c r="AE17">
        <f>[2]!T_DIST_2T(AC17,AD17)</f>
        <v>0.74918303239285244</v>
      </c>
      <c r="AF17">
        <f>[2]!T_INV_2T(AF14,AD17)</f>
        <v>2.7766082759193935</v>
      </c>
      <c r="AG17">
        <f>(AC5-AC6)-AF17*AB17</f>
        <v>-7.7899137415655725E-2</v>
      </c>
      <c r="AH17">
        <f>(AC5-AC6)+AF17*AB17</f>
        <v>9.982492848719822E-2</v>
      </c>
      <c r="AI17" s="90" t="str">
        <f>IF(AE17&lt;AF14,"yes","no")</f>
        <v>no</v>
      </c>
      <c r="AJ17">
        <f>AJ16</f>
        <v>0.16882886263791871</v>
      </c>
    </row>
    <row r="18" spans="2:36" x14ac:dyDescent="0.3">
      <c r="B18" t="s">
        <v>172</v>
      </c>
      <c r="C18">
        <f>C19-C20</f>
        <v>7.6541483440175972E-2</v>
      </c>
      <c r="D18">
        <f t="shared" ref="D18:H18" si="13">D19-D20</f>
        <v>1.6865404040404042E-2</v>
      </c>
      <c r="E18">
        <f t="shared" si="13"/>
        <v>10.739942528735639</v>
      </c>
      <c r="F18">
        <f t="shared" si="13"/>
        <v>1.5449999999999946</v>
      </c>
      <c r="G18">
        <f t="shared" si="13"/>
        <v>1.6666666666667425</v>
      </c>
      <c r="H18">
        <f t="shared" si="13"/>
        <v>7.0192130557882706</v>
      </c>
      <c r="J18" t="s">
        <v>194</v>
      </c>
      <c r="K18" t="e">
        <f>[2]!DPTEST(C3:C5)</f>
        <v>#N/A</v>
      </c>
      <c r="L18" t="e">
        <f>[2]!DPTEST(D3:D5)</f>
        <v>#N/A</v>
      </c>
      <c r="M18" t="e">
        <f>[2]!DPTEST(E3:E5)</f>
        <v>#N/A</v>
      </c>
      <c r="N18" t="e">
        <f>[2]!DPTEST(F3:F5)</f>
        <v>#N/A</v>
      </c>
      <c r="O18" t="e">
        <f>[2]!DPTEST(G3:G5)</f>
        <v>#N/A</v>
      </c>
      <c r="P18" t="e">
        <f>[2]!DPTEST(H3:H5)</f>
        <v>#N/A</v>
      </c>
      <c r="AA18" s="73"/>
      <c r="AB18" s="73"/>
      <c r="AC18" s="73"/>
      <c r="AD18" s="73"/>
      <c r="AE18" s="73"/>
      <c r="AF18" s="73"/>
      <c r="AG18" s="73"/>
      <c r="AH18" s="73"/>
      <c r="AI18" s="73"/>
      <c r="AJ18" s="73"/>
    </row>
    <row r="19" spans="2:36" x14ac:dyDescent="0.3">
      <c r="B19" t="s">
        <v>173</v>
      </c>
      <c r="C19" s="49">
        <f>MAX(C3:C5)</f>
        <v>0.1156322449729873</v>
      </c>
      <c r="D19" s="49">
        <f t="shared" ref="D19:H19" si="14">MAX(D3:D5)</f>
        <v>0.13325555555555557</v>
      </c>
      <c r="E19" s="49">
        <f t="shared" si="14"/>
        <v>77.671003134796251</v>
      </c>
      <c r="F19" s="49">
        <f t="shared" si="14"/>
        <v>52.66</v>
      </c>
      <c r="G19" s="49">
        <f t="shared" si="14"/>
        <v>6.3333333333333712</v>
      </c>
      <c r="H19" s="49">
        <f t="shared" si="14"/>
        <v>39.766321648380597</v>
      </c>
      <c r="J19" t="s">
        <v>195</v>
      </c>
      <c r="K19">
        <v>0.05</v>
      </c>
      <c r="L19">
        <v>0.05</v>
      </c>
      <c r="M19">
        <v>0.05</v>
      </c>
      <c r="N19">
        <v>0.05</v>
      </c>
      <c r="O19">
        <v>0.05</v>
      </c>
      <c r="P19">
        <v>0.05</v>
      </c>
    </row>
    <row r="20" spans="2:36" x14ac:dyDescent="0.3">
      <c r="B20" t="s">
        <v>174</v>
      </c>
      <c r="C20" s="49">
        <f>MIN(C3:C5)</f>
        <v>3.9090761532811331E-2</v>
      </c>
      <c r="D20" s="49">
        <f t="shared" ref="D20:H20" si="15">MIN(D3:D5)</f>
        <v>0.11639015151515153</v>
      </c>
      <c r="E20" s="49">
        <f t="shared" si="15"/>
        <v>66.931060606060612</v>
      </c>
      <c r="F20" s="49">
        <f t="shared" si="15"/>
        <v>51.115000000000002</v>
      </c>
      <c r="G20" s="49">
        <f t="shared" si="15"/>
        <v>4.6666666666666288</v>
      </c>
      <c r="H20" s="49">
        <f t="shared" si="15"/>
        <v>32.747108592592326</v>
      </c>
      <c r="J20" s="53" t="s">
        <v>196</v>
      </c>
      <c r="K20" s="59" t="e">
        <f>IF(K18&lt;K19,"no","yes")</f>
        <v>#N/A</v>
      </c>
      <c r="L20" s="59" t="e">
        <f t="shared" ref="L20:P20" si="16">IF(L18&lt;L19,"no","yes")</f>
        <v>#N/A</v>
      </c>
      <c r="M20" s="59" t="e">
        <f t="shared" si="16"/>
        <v>#N/A</v>
      </c>
      <c r="N20" s="59" t="e">
        <f t="shared" si="16"/>
        <v>#N/A</v>
      </c>
      <c r="O20" s="59" t="e">
        <f t="shared" si="16"/>
        <v>#N/A</v>
      </c>
      <c r="P20" s="59" t="e">
        <f t="shared" si="16"/>
        <v>#N/A</v>
      </c>
      <c r="AA20" t="s">
        <v>209</v>
      </c>
    </row>
    <row r="21" spans="2:36" x14ac:dyDescent="0.3">
      <c r="B21" t="s">
        <v>175</v>
      </c>
      <c r="C21" s="49">
        <f>SUM(C3:C5)</f>
        <v>0.2446894285073426</v>
      </c>
      <c r="D21" s="49">
        <f t="shared" ref="D21:H21" si="17">SUM(D3:D5)</f>
        <v>0.37248426506443755</v>
      </c>
      <c r="E21" s="49">
        <f t="shared" si="17"/>
        <v>213.03410077789391</v>
      </c>
      <c r="F21" s="49">
        <f t="shared" si="17"/>
        <v>155.42500000000001</v>
      </c>
      <c r="G21" s="49">
        <f t="shared" si="17"/>
        <v>16.666666666666629</v>
      </c>
      <c r="H21" s="49">
        <f t="shared" si="17"/>
        <v>106.57888775359896</v>
      </c>
    </row>
    <row r="22" spans="2:36" ht="15" thickBot="1" x14ac:dyDescent="0.35">
      <c r="B22" t="s">
        <v>176</v>
      </c>
      <c r="C22">
        <f>COUNT(C3:C5)</f>
        <v>3</v>
      </c>
      <c r="D22">
        <f t="shared" ref="D22:H22" si="18">COUNT(D3:D5)</f>
        <v>3</v>
      </c>
      <c r="E22">
        <f t="shared" si="18"/>
        <v>3</v>
      </c>
      <c r="F22">
        <f t="shared" si="18"/>
        <v>3</v>
      </c>
      <c r="G22">
        <f t="shared" si="18"/>
        <v>3</v>
      </c>
      <c r="H22">
        <f t="shared" si="18"/>
        <v>3</v>
      </c>
      <c r="AA22" t="s">
        <v>210</v>
      </c>
      <c r="AD22" t="s">
        <v>211</v>
      </c>
      <c r="AE22">
        <v>0</v>
      </c>
    </row>
    <row r="23" spans="2:36" ht="15" thickTop="1" x14ac:dyDescent="0.3">
      <c r="B23" t="s">
        <v>177</v>
      </c>
      <c r="C23">
        <f>GEOMEAN(C3:C5)</f>
        <v>7.4087427017358098E-2</v>
      </c>
      <c r="D23">
        <f t="shared" ref="D23:H23" si="19">GEOMEAN(D3:D5)</f>
        <v>0.12396871202856284</v>
      </c>
      <c r="E23">
        <f t="shared" si="19"/>
        <v>70.856880706895694</v>
      </c>
      <c r="F23">
        <f t="shared" si="19"/>
        <v>51.804384158454752</v>
      </c>
      <c r="G23">
        <f t="shared" si="19"/>
        <v>5.5121657036825615</v>
      </c>
      <c r="H23">
        <f t="shared" si="19"/>
        <v>35.399804941334303</v>
      </c>
      <c r="AA23" s="89" t="s">
        <v>212</v>
      </c>
      <c r="AB23" s="89" t="s">
        <v>176</v>
      </c>
      <c r="AC23" s="89" t="s">
        <v>100</v>
      </c>
      <c r="AD23" s="89" t="s">
        <v>101</v>
      </c>
      <c r="AE23" s="89" t="s">
        <v>213</v>
      </c>
    </row>
    <row r="24" spans="2:36" x14ac:dyDescent="0.3">
      <c r="B24" t="s">
        <v>178</v>
      </c>
      <c r="C24">
        <f>HARMEAN(C3:C5)</f>
        <v>6.6159653240906419E-2</v>
      </c>
      <c r="D24">
        <f t="shared" ref="D24:H24" si="20">HARMEAN(D3:D5)</f>
        <v>0.12377802137450523</v>
      </c>
      <c r="E24">
        <f t="shared" si="20"/>
        <v>70.707018758739167</v>
      </c>
      <c r="F24">
        <f t="shared" si="20"/>
        <v>51.800446593562761</v>
      </c>
      <c r="G24">
        <f t="shared" si="20"/>
        <v>5.4679564691656388</v>
      </c>
      <c r="H24">
        <f t="shared" si="20"/>
        <v>35.277846783207146</v>
      </c>
      <c r="AA24" t="str">
        <f>D2</f>
        <v>BI (g/cm3)</v>
      </c>
      <c r="AB24">
        <f>COUNT(D3:D5)</f>
        <v>3</v>
      </c>
      <c r="AC24" s="49">
        <f>AVERAGE(D3:D5)</f>
        <v>0.12416142168814585</v>
      </c>
      <c r="AD24">
        <f>_xlfn.VAR.S(D3:D5)</f>
        <v>7.2422939627021066E-5</v>
      </c>
    </row>
    <row r="25" spans="2:36" x14ac:dyDescent="0.3">
      <c r="B25" t="s">
        <v>179</v>
      </c>
      <c r="C25">
        <f>AVEDEV(C3:C5)</f>
        <v>2.8314920868646353E-2</v>
      </c>
      <c r="D25">
        <f t="shared" ref="D25:H25" si="21">AVEDEV(D3:D5)</f>
        <v>6.0627559116064921E-3</v>
      </c>
      <c r="E25">
        <f t="shared" si="21"/>
        <v>4.4397574725544091</v>
      </c>
      <c r="F25">
        <f t="shared" si="21"/>
        <v>0.56777777777777538</v>
      </c>
      <c r="G25">
        <f t="shared" si="21"/>
        <v>0.59259259259260944</v>
      </c>
      <c r="H25">
        <f t="shared" si="21"/>
        <v>2.8266838203428506</v>
      </c>
      <c r="AA25" t="str">
        <f>L2</f>
        <v>BI (g/cm3)</v>
      </c>
      <c r="AB25">
        <f>COUNT(L3:L5)</f>
        <v>3</v>
      </c>
      <c r="AC25" s="49">
        <f>AVERAGE(L3:L5)</f>
        <v>9.4841724986175782E-2</v>
      </c>
      <c r="AD25">
        <f>_xlfn.VAR.S(L3:L5)</f>
        <v>2.3111630064304688E-4</v>
      </c>
    </row>
    <row r="26" spans="2:36" x14ac:dyDescent="0.3">
      <c r="B26" t="s">
        <v>180</v>
      </c>
      <c r="C26">
        <f>[2]!MAD(C3:C5)</f>
        <v>2.5665822971443333E-2</v>
      </c>
      <c r="D26">
        <f>[2]!MAD(D3:D5)</f>
        <v>6.4484064785788886E-3</v>
      </c>
      <c r="E26">
        <f>[2]!MAD(E3:E5)</f>
        <v>1.5009764309764364</v>
      </c>
      <c r="F26">
        <f>[2]!MAD(F3:F5)</f>
        <v>0.53500000000000369</v>
      </c>
      <c r="G26">
        <f>[2]!MAD(G3:G5)</f>
        <v>0.66666666666674246</v>
      </c>
      <c r="H26">
        <f>[2]!MAD(H3:H5)</f>
        <v>1.3183489200337135</v>
      </c>
      <c r="AA26" s="73" t="s">
        <v>214</v>
      </c>
      <c r="AB26" s="73"/>
      <c r="AC26" s="73"/>
      <c r="AD26" s="73">
        <f>((AB24-1)*AD24+(AB25-1)*AD25)/(AB24+AB25-2)</f>
        <v>1.5176962013503398E-4</v>
      </c>
      <c r="AE26" s="73">
        <f>ABS(AC24-AC25-AE22)/SQRT(AD26)</f>
        <v>2.3799457076761641</v>
      </c>
    </row>
    <row r="27" spans="2:36" x14ac:dyDescent="0.3">
      <c r="B27" s="53" t="s">
        <v>181</v>
      </c>
      <c r="C27" s="53">
        <f>[2]!IQR(C3:C5,FALSE)</f>
        <v>3.8270741720087986E-2</v>
      </c>
      <c r="D27" s="53">
        <f>[2]!IQR(D3:D5,FALSE)</f>
        <v>8.4327020202020347E-3</v>
      </c>
      <c r="E27" s="53">
        <f>[2]!IQR(E3:E5,FALSE)</f>
        <v>5.3699712643678197</v>
      </c>
      <c r="F27" s="53">
        <f>[2]!IQR(F3:F5,FALSE)</f>
        <v>0.77249999999999375</v>
      </c>
      <c r="G27" s="53">
        <f>[2]!IQR(G3:G5,FALSE)</f>
        <v>0.83333333333337123</v>
      </c>
      <c r="H27" s="53">
        <f>[2]!IQR(H3:H5,FALSE)</f>
        <v>3.5096065278941353</v>
      </c>
    </row>
    <row r="28" spans="2:36" ht="15" thickBot="1" x14ac:dyDescent="0.35">
      <c r="AA28" t="s">
        <v>215</v>
      </c>
      <c r="AE28" t="s">
        <v>216</v>
      </c>
      <c r="AF28">
        <v>0.05</v>
      </c>
    </row>
    <row r="29" spans="2:36" ht="15" thickTop="1" x14ac:dyDescent="0.3">
      <c r="AA29" s="89" t="s">
        <v>217</v>
      </c>
      <c r="AB29" s="89" t="s">
        <v>218</v>
      </c>
      <c r="AC29" s="89" t="s">
        <v>219</v>
      </c>
      <c r="AD29" s="89" t="s">
        <v>105</v>
      </c>
      <c r="AE29" s="89" t="s">
        <v>194</v>
      </c>
      <c r="AF29" s="89" t="s">
        <v>220</v>
      </c>
      <c r="AG29" s="89" t="s">
        <v>221</v>
      </c>
      <c r="AH29" s="89" t="s">
        <v>222</v>
      </c>
      <c r="AI29" s="89" t="s">
        <v>223</v>
      </c>
      <c r="AJ29" s="89" t="s">
        <v>224</v>
      </c>
    </row>
    <row r="30" spans="2:36" x14ac:dyDescent="0.3">
      <c r="B30" t="s">
        <v>164</v>
      </c>
      <c r="J30" t="s">
        <v>192</v>
      </c>
      <c r="AA30" t="s">
        <v>225</v>
      </c>
      <c r="AB30">
        <f>SQRT(AD26*(1/AB24+1/AB25))</f>
        <v>1.0058814381262302E-2</v>
      </c>
      <c r="AC30">
        <f>(ABS(AC24-AC25-AE22))/AB30</f>
        <v>2.9148262996668084</v>
      </c>
      <c r="AD30">
        <f>AB24+AB25-2</f>
        <v>4</v>
      </c>
      <c r="AE30">
        <f>_xlfn.T.DIST.RT(AC30,AD30)</f>
        <v>2.1733864632153672E-2</v>
      </c>
      <c r="AF30">
        <f>_xlfn.T.INV.2T(AF28*2,AD30)</f>
        <v>2.1318467863266499</v>
      </c>
      <c r="AI30" s="90" t="str">
        <f>IF(AE30&lt;AF28,"yes","no")</f>
        <v>yes</v>
      </c>
      <c r="AJ30">
        <f>SQRT(AC30^2/(AC30^2+AD30))</f>
        <v>0.82456231235429966</v>
      </c>
    </row>
    <row r="31" spans="2:36" x14ac:dyDescent="0.3">
      <c r="B31" s="105" t="s">
        <v>94</v>
      </c>
      <c r="C31" s="105"/>
      <c r="D31" s="105"/>
      <c r="E31" s="105"/>
      <c r="F31" s="105"/>
      <c r="G31" s="105"/>
      <c r="H31" s="105"/>
      <c r="J31" s="105" t="s">
        <v>94</v>
      </c>
      <c r="K31" s="105"/>
      <c r="L31" s="105"/>
      <c r="M31" s="105"/>
      <c r="N31" s="105"/>
      <c r="O31" s="105"/>
      <c r="P31" s="105"/>
      <c r="AA31" t="s">
        <v>226</v>
      </c>
      <c r="AB31">
        <f>AB30</f>
        <v>1.0058814381262302E-2</v>
      </c>
      <c r="AC31">
        <f t="shared" ref="AC31:AD31" si="22">AC30</f>
        <v>2.9148262996668084</v>
      </c>
      <c r="AD31">
        <f t="shared" si="22"/>
        <v>4</v>
      </c>
      <c r="AE31">
        <f>_xlfn.T.DIST.2T(AC31,AD31)</f>
        <v>4.3467729264307343E-2</v>
      </c>
      <c r="AF31">
        <f>_xlfn.T.INV.2T(AF28,AD31)</f>
        <v>2.7764451051977934</v>
      </c>
      <c r="AG31">
        <f>(AC24-AC25)-AF31*AB31</f>
        <v>1.3919507490211813E-3</v>
      </c>
      <c r="AH31">
        <f>(AC24-AC25)+AF31*AB31</f>
        <v>5.7247442654918962E-2</v>
      </c>
      <c r="AI31" s="90" t="str">
        <f>IF(AE31&lt;AF28,"yes","no")</f>
        <v>yes</v>
      </c>
      <c r="AJ31">
        <f>AJ30</f>
        <v>0.82456231235429966</v>
      </c>
    </row>
    <row r="32" spans="2:36" x14ac:dyDescent="0.3">
      <c r="B32" s="54"/>
      <c r="C32" s="54" t="str">
        <f>K2</f>
        <v>Konduktivitas Hidrolik (m/hari)</v>
      </c>
      <c r="D32" s="54" t="str">
        <f t="shared" ref="D32:H32" si="23">L2</f>
        <v>BI (g/cm3)</v>
      </c>
      <c r="E32" s="54" t="str">
        <f t="shared" si="23"/>
        <v>Kadar Air (%Vol)</v>
      </c>
      <c r="F32" s="54" t="str">
        <f t="shared" si="23"/>
        <v>Carbon (%)</v>
      </c>
      <c r="G32" s="54" t="str">
        <f t="shared" si="23"/>
        <v>Subsiden (cm/tahun)</v>
      </c>
      <c r="H32" s="54" t="str">
        <f t="shared" si="23"/>
        <v>Loss Carbon (t C ha-1)</v>
      </c>
      <c r="J32" s="54"/>
      <c r="K32" s="54" t="str">
        <f>K2</f>
        <v>Konduktivitas Hidrolik (m/hari)</v>
      </c>
      <c r="L32" s="54" t="str">
        <f t="shared" ref="L32:P32" si="24">L2</f>
        <v>BI (g/cm3)</v>
      </c>
      <c r="M32" s="54" t="str">
        <f t="shared" si="24"/>
        <v>Kadar Air (%Vol)</v>
      </c>
      <c r="N32" s="54" t="str">
        <f t="shared" si="24"/>
        <v>Carbon (%)</v>
      </c>
      <c r="O32" s="54" t="str">
        <f t="shared" si="24"/>
        <v>Subsiden (cm/tahun)</v>
      </c>
      <c r="P32" s="54" t="str">
        <f t="shared" si="24"/>
        <v>Loss Carbon (t C ha-1)</v>
      </c>
      <c r="AA32" s="73"/>
      <c r="AB32" s="73"/>
      <c r="AC32" s="73"/>
      <c r="AD32" s="73"/>
      <c r="AE32" s="73"/>
      <c r="AF32" s="73"/>
      <c r="AG32" s="73"/>
      <c r="AH32" s="73"/>
      <c r="AI32" s="73"/>
      <c r="AJ32" s="73"/>
    </row>
    <row r="33" spans="2:36" ht="15" thickBot="1" x14ac:dyDescent="0.35">
      <c r="B33" t="s">
        <v>100</v>
      </c>
      <c r="C33" s="49">
        <f>AVERAGE(K3:K5)</f>
        <v>7.0600247300009619E-2</v>
      </c>
      <c r="D33" s="49">
        <f t="shared" ref="D33:H33" si="25">AVERAGE(L3:L5)</f>
        <v>9.4841724986175782E-2</v>
      </c>
      <c r="E33" s="49">
        <f t="shared" si="25"/>
        <v>85.222208169404965</v>
      </c>
      <c r="F33" s="49">
        <f t="shared" si="25"/>
        <v>52.754999999999995</v>
      </c>
      <c r="G33" s="49">
        <f t="shared" si="25"/>
        <v>1.8333333333333524</v>
      </c>
      <c r="H33" s="49">
        <f t="shared" si="25"/>
        <v>9.2398175443209247</v>
      </c>
      <c r="J33" t="s">
        <v>193</v>
      </c>
      <c r="K33">
        <f>[2]!SHAPIRO(K3:K5)</f>
        <v>0.86602637840225283</v>
      </c>
      <c r="L33">
        <f>[2]!SHAPIRO(L3:L5)</f>
        <v>0.99378015934683184</v>
      </c>
      <c r="M33">
        <f>[2]!SHAPIRO(M3:M5)</f>
        <v>0.76207662560126022</v>
      </c>
      <c r="N33">
        <f>[2]!SHAPIRO(N3:N5)</f>
        <v>0.91718246832002082</v>
      </c>
      <c r="O33">
        <f>[2]!SHAPIRO(O3:O5)</f>
        <v>0.89285714285715168</v>
      </c>
      <c r="P33">
        <f>[2]!SHAPIRO(P3:P5)</f>
        <v>0.77303252537822043</v>
      </c>
      <c r="AA33" t="s">
        <v>227</v>
      </c>
      <c r="AE33" t="s">
        <v>216</v>
      </c>
      <c r="AF33">
        <f>AF28</f>
        <v>0.05</v>
      </c>
    </row>
    <row r="34" spans="2:36" ht="15" thickTop="1" x14ac:dyDescent="0.3">
      <c r="B34" t="s">
        <v>165</v>
      </c>
      <c r="C34">
        <f>_xlfn.STDEV.S(K3:K5)/SQRT(COUNT(K3:K5))</f>
        <v>2.2767812238375717E-2</v>
      </c>
      <c r="D34">
        <f t="shared" ref="D34:H34" si="26">_xlfn.STDEV.S(L3:L5)/SQRT(COUNT(L3:L5))</f>
        <v>8.7771730574835779E-3</v>
      </c>
      <c r="E34">
        <f t="shared" si="26"/>
        <v>2.0884750379015049</v>
      </c>
      <c r="F34">
        <f t="shared" si="26"/>
        <v>1.5463182078731386</v>
      </c>
      <c r="G34">
        <f t="shared" si="26"/>
        <v>0.2545875386086684</v>
      </c>
      <c r="H34">
        <f t="shared" si="26"/>
        <v>1.8046847941142585</v>
      </c>
      <c r="J34" t="s">
        <v>194</v>
      </c>
      <c r="K34">
        <f>[2]!SWTEST(K3:K5)</f>
        <v>0.28431178020427839</v>
      </c>
      <c r="L34">
        <f>[2]!SWTEST(L3:L5)</f>
        <v>0.84921952075962026</v>
      </c>
      <c r="M34">
        <f>[2]!SWTEST(M3:M5)</f>
        <v>2.6853438650829835E-2</v>
      </c>
      <c r="N34">
        <f>[2]!SWTEST(N3:N5)</f>
        <v>0.44249521694252708</v>
      </c>
      <c r="O34">
        <f>[2]!SWTEST(O3:O5)</f>
        <v>0.36311223753048966</v>
      </c>
      <c r="P34">
        <f>[2]!SWTEST(P3:P5)</f>
        <v>5.1623726924151132E-2</v>
      </c>
      <c r="AA34" s="89" t="s">
        <v>217</v>
      </c>
      <c r="AB34" s="89" t="s">
        <v>218</v>
      </c>
      <c r="AC34" s="89" t="s">
        <v>219</v>
      </c>
      <c r="AD34" s="89" t="s">
        <v>105</v>
      </c>
      <c r="AE34" s="89" t="s">
        <v>194</v>
      </c>
      <c r="AF34" s="89" t="s">
        <v>220</v>
      </c>
      <c r="AG34" s="89" t="s">
        <v>221</v>
      </c>
      <c r="AH34" s="89" t="s">
        <v>222</v>
      </c>
      <c r="AI34" s="89" t="s">
        <v>223</v>
      </c>
      <c r="AJ34" s="89" t="s">
        <v>224</v>
      </c>
    </row>
    <row r="35" spans="2:36" x14ac:dyDescent="0.3">
      <c r="B35" t="s">
        <v>166</v>
      </c>
      <c r="C35" s="49">
        <f>MEDIAN(K3:K5)</f>
        <v>5.3933112588416619E-2</v>
      </c>
      <c r="D35" s="49">
        <f t="shared" ref="D35:H35" si="27">MEDIAN(L3:L5)</f>
        <v>9.3457284515636924E-2</v>
      </c>
      <c r="E35" s="49">
        <f t="shared" si="27"/>
        <v>87.259615384615387</v>
      </c>
      <c r="F35" s="49">
        <f t="shared" si="27"/>
        <v>53.644999999999996</v>
      </c>
      <c r="G35" s="49">
        <f t="shared" si="27"/>
        <v>1.6666666666666856</v>
      </c>
      <c r="H35" s="49">
        <f t="shared" si="27"/>
        <v>7.5202740417620149</v>
      </c>
      <c r="J35" t="s">
        <v>195</v>
      </c>
      <c r="K35">
        <v>0.05</v>
      </c>
      <c r="L35">
        <v>0.05</v>
      </c>
      <c r="M35">
        <v>0.05</v>
      </c>
      <c r="N35">
        <v>0.05</v>
      </c>
      <c r="O35">
        <v>0.05</v>
      </c>
      <c r="P35">
        <v>0.05</v>
      </c>
      <c r="AA35" t="s">
        <v>225</v>
      </c>
      <c r="AB35">
        <f>SQRT(AD24/AB24+AD25/AB25)</f>
        <v>1.0058814381262302E-2</v>
      </c>
      <c r="AC35">
        <f>(ABS(AC24-AC25-AE22))/AB35</f>
        <v>2.9148262996668084</v>
      </c>
      <c r="AD35">
        <f>(AD24/AB24+AD25/AB25)^2/((AD24/AB24)^2/(AB24-1)+(AD25/AB25)^2/(AB25-1))</f>
        <v>3.1413686576600059</v>
      </c>
      <c r="AE35">
        <f>[2]!T_DIST_RT(AC35,AD35)</f>
        <v>2.9191060606838903E-2</v>
      </c>
      <c r="AF35">
        <f>[2]!T_INV(1-AF33,AD35)</f>
        <v>2.3108091124573797</v>
      </c>
      <c r="AI35" s="90" t="str">
        <f>IF(AE35&lt;AF33,"yes","no")</f>
        <v>yes</v>
      </c>
      <c r="AJ35">
        <f>SQRT(AC35^2/(AC35^2+AD35))</f>
        <v>0.85443950691228454</v>
      </c>
    </row>
    <row r="36" spans="2:36" x14ac:dyDescent="0.3">
      <c r="B36" t="s">
        <v>167</v>
      </c>
      <c r="C36" t="e">
        <f>MODE(K3:K5)</f>
        <v>#N/A</v>
      </c>
      <c r="D36" t="e">
        <f t="shared" ref="D36:H36" si="28">MODE(L3:L5)</f>
        <v>#N/A</v>
      </c>
      <c r="E36" t="e">
        <f t="shared" si="28"/>
        <v>#N/A</v>
      </c>
      <c r="F36" t="e">
        <f t="shared" si="28"/>
        <v>#N/A</v>
      </c>
      <c r="G36" t="e">
        <f t="shared" si="28"/>
        <v>#N/A</v>
      </c>
      <c r="H36" t="e">
        <f t="shared" si="28"/>
        <v>#N/A</v>
      </c>
      <c r="J36" s="53" t="s">
        <v>196</v>
      </c>
      <c r="K36" s="59" t="str">
        <f>IF(K34&lt;K35,"no","yes")</f>
        <v>yes</v>
      </c>
      <c r="L36" s="59" t="str">
        <f t="shared" ref="L36:P36" si="29">IF(L34&lt;L35,"no","yes")</f>
        <v>yes</v>
      </c>
      <c r="M36" s="59" t="str">
        <f t="shared" si="29"/>
        <v>no</v>
      </c>
      <c r="N36" s="59" t="str">
        <f t="shared" si="29"/>
        <v>yes</v>
      </c>
      <c r="O36" s="59" t="str">
        <f t="shared" si="29"/>
        <v>yes</v>
      </c>
      <c r="P36" s="59" t="str">
        <f t="shared" si="29"/>
        <v>yes</v>
      </c>
      <c r="AA36" t="s">
        <v>226</v>
      </c>
      <c r="AB36">
        <f>AB35</f>
        <v>1.0058814381262302E-2</v>
      </c>
      <c r="AC36">
        <f t="shared" ref="AC36:AD36" si="30">AC35</f>
        <v>2.9148262996668084</v>
      </c>
      <c r="AD36">
        <f t="shared" si="30"/>
        <v>3.1413686576600059</v>
      </c>
      <c r="AE36">
        <f>[2]!T_DIST_2T(AC36,AD36)</f>
        <v>5.8382121213677807E-2</v>
      </c>
      <c r="AF36">
        <f>[2]!T_INV_2T(AF33,AD36)</f>
        <v>3.1029396019935103</v>
      </c>
      <c r="AG36">
        <f>(AC24-AC25)-AF36*AB36</f>
        <v>-1.8921967907505749E-3</v>
      </c>
      <c r="AH36">
        <f>(AC24-AC25)+AF36*AB36</f>
        <v>6.0531590194690718E-2</v>
      </c>
      <c r="AI36" s="90" t="str">
        <f>IF(AE36&lt;AF33,"yes","no")</f>
        <v>no</v>
      </c>
      <c r="AJ36">
        <f>AJ35</f>
        <v>0.85443950691228454</v>
      </c>
    </row>
    <row r="37" spans="2:36" x14ac:dyDescent="0.3">
      <c r="B37" t="s">
        <v>168</v>
      </c>
      <c r="C37">
        <f>_xlfn.STDEV.S(K3:K5)</f>
        <v>3.9435007574055228E-2</v>
      </c>
      <c r="D37">
        <f t="shared" ref="D37:H37" si="31">_xlfn.STDEV.S(L3:L5)</f>
        <v>1.5202509682386223E-2</v>
      </c>
      <c r="E37">
        <f t="shared" si="31"/>
        <v>3.6173448759847426</v>
      </c>
      <c r="F37">
        <f t="shared" si="31"/>
        <v>2.6783017007051284</v>
      </c>
      <c r="G37">
        <f t="shared" si="31"/>
        <v>0.44095855184411681</v>
      </c>
      <c r="H37">
        <f t="shared" si="31"/>
        <v>3.1258057550528742</v>
      </c>
      <c r="AA37" s="73"/>
      <c r="AB37" s="73"/>
      <c r="AC37" s="73"/>
      <c r="AD37" s="73"/>
      <c r="AE37" s="73"/>
      <c r="AF37" s="73"/>
      <c r="AG37" s="73"/>
      <c r="AH37" s="73"/>
      <c r="AI37" s="73"/>
      <c r="AJ37" s="73"/>
    </row>
    <row r="38" spans="2:36" x14ac:dyDescent="0.3">
      <c r="B38" t="s">
        <v>169</v>
      </c>
      <c r="C38">
        <f>_xlfn.VAR.S(K3:K5)</f>
        <v>1.5551198223657933E-3</v>
      </c>
      <c r="D38">
        <f t="shared" ref="D38:H38" si="32">_xlfn.VAR.S(L3:L5)</f>
        <v>2.3111630064304688E-4</v>
      </c>
      <c r="E38">
        <f t="shared" si="32"/>
        <v>13.085183951813072</v>
      </c>
      <c r="F38">
        <f t="shared" si="32"/>
        <v>7.1732999999999834</v>
      </c>
      <c r="G38">
        <f t="shared" si="32"/>
        <v>0.19444444444446063</v>
      </c>
      <c r="H38">
        <f t="shared" si="32"/>
        <v>9.7706616183216681</v>
      </c>
      <c r="J38" t="s">
        <v>197</v>
      </c>
    </row>
    <row r="39" spans="2:36" x14ac:dyDescent="0.3">
      <c r="B39" t="s">
        <v>170</v>
      </c>
      <c r="C39" t="e">
        <f>KURT(K3:K5)</f>
        <v>#DIV/0!</v>
      </c>
      <c r="D39" t="e">
        <f t="shared" ref="D39:H39" si="33">KURT(L3:L5)</f>
        <v>#DIV/0!</v>
      </c>
      <c r="E39" t="e">
        <f t="shared" si="33"/>
        <v>#DIV/0!</v>
      </c>
      <c r="F39" t="e">
        <f t="shared" si="33"/>
        <v>#DIV/0!</v>
      </c>
      <c r="G39" t="e">
        <f t="shared" si="33"/>
        <v>#DIV/0!</v>
      </c>
      <c r="H39" t="e">
        <f t="shared" si="33"/>
        <v>#DIV/0!</v>
      </c>
      <c r="AA39" t="s">
        <v>209</v>
      </c>
    </row>
    <row r="40" spans="2:36" x14ac:dyDescent="0.3">
      <c r="B40" t="s">
        <v>171</v>
      </c>
      <c r="C40">
        <f>SKEW(K3:K5)</f>
        <v>1.5621746158578349</v>
      </c>
      <c r="D40">
        <f t="shared" ref="D40:H40" si="34">SKEW(L3:L5)</f>
        <v>0.40640106480969918</v>
      </c>
      <c r="E40">
        <f t="shared" si="34"/>
        <v>-1.7305100522768142</v>
      </c>
      <c r="F40">
        <f t="shared" si="34"/>
        <v>-1.3302289207712739</v>
      </c>
      <c r="G40">
        <f t="shared" si="34"/>
        <v>1.457862967321264</v>
      </c>
      <c r="H40">
        <f t="shared" si="34"/>
        <v>1.7263590596195879</v>
      </c>
      <c r="J40" s="73" t="s">
        <v>198</v>
      </c>
      <c r="K40" s="73" t="e">
        <f>[2]!DAGOSTINO(K3:K5)</f>
        <v>#N/A</v>
      </c>
      <c r="L40" s="73" t="e">
        <f>[2]!DAGOSTINO(L3:L5)</f>
        <v>#N/A</v>
      </c>
      <c r="M40" s="73" t="e">
        <f>[2]!DAGOSTINO(M3:M5)</f>
        <v>#N/A</v>
      </c>
      <c r="N40" s="73" t="e">
        <f>[2]!DAGOSTINO(N3:N5)</f>
        <v>#N/A</v>
      </c>
      <c r="O40" s="73" t="e">
        <f>[2]!DAGOSTINO(O3:O5)</f>
        <v>#N/A</v>
      </c>
      <c r="P40" s="73" t="e">
        <f>[2]!DAGOSTINO(P3:P5)</f>
        <v>#N/A</v>
      </c>
    </row>
    <row r="41" spans="2:36" ht="15" thickBot="1" x14ac:dyDescent="0.35">
      <c r="B41" t="s">
        <v>172</v>
      </c>
      <c r="C41">
        <f>C42-C43</f>
        <v>7.3396860634362376E-2</v>
      </c>
      <c r="D41">
        <f t="shared" ref="D41:H41" si="35">D42-D43</f>
        <v>3.0310314685314685E-2</v>
      </c>
      <c r="E41">
        <f t="shared" si="35"/>
        <v>6.3156671322575164</v>
      </c>
      <c r="F41">
        <f t="shared" si="35"/>
        <v>5.1299999999999955</v>
      </c>
      <c r="G41">
        <f t="shared" si="35"/>
        <v>0.83333333333337123</v>
      </c>
      <c r="H41">
        <f t="shared" si="35"/>
        <v>5.4965586417056445</v>
      </c>
      <c r="J41" t="s">
        <v>194</v>
      </c>
      <c r="K41" t="e">
        <f>[2]!DPTEST(K3:K5)</f>
        <v>#N/A</v>
      </c>
      <c r="L41" t="e">
        <f>[2]!DPTEST(L3:L5)</f>
        <v>#N/A</v>
      </c>
      <c r="M41" t="e">
        <f>[2]!DPTEST(M3:M5)</f>
        <v>#N/A</v>
      </c>
      <c r="N41" t="e">
        <f>[2]!DPTEST(N3:N5)</f>
        <v>#N/A</v>
      </c>
      <c r="O41" t="e">
        <f>[2]!DPTEST(O3:O5)</f>
        <v>#N/A</v>
      </c>
      <c r="P41" t="e">
        <f>[2]!DPTEST(P3:P5)</f>
        <v>#N/A</v>
      </c>
      <c r="AA41" t="s">
        <v>210</v>
      </c>
      <c r="AD41" t="s">
        <v>211</v>
      </c>
      <c r="AE41">
        <v>0</v>
      </c>
    </row>
    <row r="42" spans="2:36" ht="15" thickTop="1" x14ac:dyDescent="0.3">
      <c r="B42" t="s">
        <v>173</v>
      </c>
      <c r="C42" s="49">
        <f>MAX(K3:K5)</f>
        <v>0.1156322449729873</v>
      </c>
      <c r="D42" s="49">
        <f t="shared" ref="D42:H42" si="36">MAX(L3:L5)</f>
        <v>0.11068910256410255</v>
      </c>
      <c r="E42" s="49">
        <f t="shared" si="36"/>
        <v>87.361338127928519</v>
      </c>
      <c r="F42" s="49">
        <f t="shared" si="36"/>
        <v>54.875</v>
      </c>
      <c r="G42" s="49">
        <f t="shared" si="36"/>
        <v>2.3333333333333712</v>
      </c>
      <c r="H42" s="49">
        <f t="shared" si="36"/>
        <v>12.847868616453201</v>
      </c>
      <c r="J42" t="s">
        <v>195</v>
      </c>
      <c r="K42">
        <v>0.05</v>
      </c>
      <c r="L42">
        <v>0.05</v>
      </c>
      <c r="M42">
        <v>0.05</v>
      </c>
      <c r="N42">
        <v>0.05</v>
      </c>
      <c r="O42">
        <v>0.05</v>
      </c>
      <c r="P42">
        <v>0.05</v>
      </c>
      <c r="AA42" s="89" t="s">
        <v>212</v>
      </c>
      <c r="AB42" s="89" t="s">
        <v>176</v>
      </c>
      <c r="AC42" s="89" t="s">
        <v>100</v>
      </c>
      <c r="AD42" s="89" t="s">
        <v>101</v>
      </c>
      <c r="AE42" s="89" t="s">
        <v>213</v>
      </c>
    </row>
    <row r="43" spans="2:36" x14ac:dyDescent="0.3">
      <c r="B43" t="s">
        <v>174</v>
      </c>
      <c r="C43" s="49">
        <f>MIN(K3:K5)</f>
        <v>4.2235384338624914E-2</v>
      </c>
      <c r="D43" s="49">
        <f t="shared" ref="D43:H43" si="37">MIN(L3:L5)</f>
        <v>8.0378787878787869E-2</v>
      </c>
      <c r="E43" s="49">
        <f t="shared" si="37"/>
        <v>81.045670995671003</v>
      </c>
      <c r="F43" s="49">
        <f t="shared" si="37"/>
        <v>49.745000000000005</v>
      </c>
      <c r="G43" s="49">
        <f t="shared" si="37"/>
        <v>1.5</v>
      </c>
      <c r="H43" s="49">
        <f t="shared" si="37"/>
        <v>7.351309974747557</v>
      </c>
      <c r="J43" s="53" t="s">
        <v>196</v>
      </c>
      <c r="K43" s="59" t="e">
        <f>IF(K41&lt;K42,"no","yes")</f>
        <v>#N/A</v>
      </c>
      <c r="L43" s="59" t="e">
        <f t="shared" ref="L43:P43" si="38">IF(L41&lt;L42,"no","yes")</f>
        <v>#N/A</v>
      </c>
      <c r="M43" s="59" t="e">
        <f t="shared" si="38"/>
        <v>#N/A</v>
      </c>
      <c r="N43" s="59" t="e">
        <f t="shared" si="38"/>
        <v>#N/A</v>
      </c>
      <c r="O43" s="59" t="e">
        <f t="shared" si="38"/>
        <v>#N/A</v>
      </c>
      <c r="P43" s="59" t="e">
        <f t="shared" si="38"/>
        <v>#N/A</v>
      </c>
      <c r="AA43" s="49" t="str">
        <f>E2</f>
        <v>Kadar Air (%Vol)</v>
      </c>
      <c r="AB43">
        <f>COUNT(E3:E5)</f>
        <v>3</v>
      </c>
      <c r="AC43" s="49">
        <f>AVERAGE(E3:E5)</f>
        <v>71.011366925964637</v>
      </c>
      <c r="AD43">
        <f>_xlfn.VAR.S(E3:E5)</f>
        <v>33.826298387072526</v>
      </c>
    </row>
    <row r="44" spans="2:36" x14ac:dyDescent="0.3">
      <c r="B44" t="s">
        <v>175</v>
      </c>
      <c r="C44" s="49">
        <f>SUM(K3:K5)</f>
        <v>0.21180074190002884</v>
      </c>
      <c r="D44" s="49">
        <f t="shared" ref="D44:H44" si="39">SUM(L3:L5)</f>
        <v>0.28452517495852736</v>
      </c>
      <c r="E44" s="49">
        <f t="shared" si="39"/>
        <v>255.66662450821491</v>
      </c>
      <c r="F44" s="49">
        <f t="shared" si="39"/>
        <v>158.26499999999999</v>
      </c>
      <c r="G44" s="49">
        <f t="shared" si="39"/>
        <v>5.5000000000000568</v>
      </c>
      <c r="H44" s="49">
        <f t="shared" si="39"/>
        <v>27.719452632962774</v>
      </c>
      <c r="AA44" t="str">
        <f>M2</f>
        <v>Kadar Air (%Vol)</v>
      </c>
      <c r="AB44">
        <f>COUNT(M3:M5)</f>
        <v>3</v>
      </c>
      <c r="AC44" s="49">
        <f>AVERAGE(M3:M5)</f>
        <v>85.222208169404965</v>
      </c>
      <c r="AD44">
        <f>_xlfn.VAR.S(M3:M5)</f>
        <v>13.085183951813072</v>
      </c>
    </row>
    <row r="45" spans="2:36" x14ac:dyDescent="0.3">
      <c r="B45" t="s">
        <v>176</v>
      </c>
      <c r="C45">
        <f>COUNT(K3:K5)</f>
        <v>3</v>
      </c>
      <c r="D45">
        <f t="shared" ref="D45:H45" si="40">COUNT(L3:L5)</f>
        <v>3</v>
      </c>
      <c r="E45">
        <f t="shared" si="40"/>
        <v>3</v>
      </c>
      <c r="F45">
        <f t="shared" si="40"/>
        <v>3</v>
      </c>
      <c r="G45">
        <f t="shared" si="40"/>
        <v>3</v>
      </c>
      <c r="H45">
        <f t="shared" si="40"/>
        <v>3</v>
      </c>
      <c r="AA45" s="73" t="s">
        <v>214</v>
      </c>
      <c r="AB45" s="73"/>
      <c r="AC45" s="73"/>
      <c r="AD45" s="73">
        <f>((AB43-1)*AD43+(AB44-1)*AD44)/(AB43+AB44-2)</f>
        <v>23.455741169442799</v>
      </c>
      <c r="AE45" s="73">
        <f>ABS(AC43-AC44-AE41)/SQRT(AD45)</f>
        <v>2.9342371236752336</v>
      </c>
    </row>
    <row r="46" spans="2:36" x14ac:dyDescent="0.3">
      <c r="B46" t="s">
        <v>177</v>
      </c>
      <c r="C46">
        <f>GEOMEAN(K3:K5)</f>
        <v>6.4101810754054606E-2</v>
      </c>
      <c r="D46">
        <f t="shared" ref="D46:H46" si="41">GEOMEAN(L3:L5)</f>
        <v>9.4034342520857211E-2</v>
      </c>
      <c r="E46">
        <f t="shared" si="41"/>
        <v>85.170160319556103</v>
      </c>
      <c r="F46">
        <f t="shared" si="41"/>
        <v>52.708954998134033</v>
      </c>
      <c r="G46">
        <f t="shared" si="41"/>
        <v>1.8001371637588344</v>
      </c>
      <c r="H46">
        <f t="shared" si="41"/>
        <v>8.9222933163567273</v>
      </c>
    </row>
    <row r="47" spans="2:36" ht="15" thickBot="1" x14ac:dyDescent="0.35">
      <c r="B47" t="s">
        <v>178</v>
      </c>
      <c r="C47">
        <f>HARMEAN(K3:K5)</f>
        <v>5.8978003851856697E-2</v>
      </c>
      <c r="D47">
        <f t="shared" ref="D47:H47" si="42">HARMEAN(L3:L5)</f>
        <v>9.3238696991494535E-2</v>
      </c>
      <c r="E47">
        <f t="shared" si="42"/>
        <v>85.117277595258713</v>
      </c>
      <c r="F47">
        <f t="shared" si="42"/>
        <v>52.662230435240311</v>
      </c>
      <c r="G47">
        <f t="shared" si="42"/>
        <v>1.7696629213483293</v>
      </c>
      <c r="H47">
        <f t="shared" si="42"/>
        <v>8.6495718502468861</v>
      </c>
      <c r="AA47" t="s">
        <v>215</v>
      </c>
      <c r="AE47" t="s">
        <v>216</v>
      </c>
      <c r="AF47">
        <v>0.05</v>
      </c>
    </row>
    <row r="48" spans="2:36" ht="15" thickTop="1" x14ac:dyDescent="0.3">
      <c r="B48" t="s">
        <v>179</v>
      </c>
      <c r="C48">
        <f>AVEDEV(K3:K5)</f>
        <v>3.0021331781985128E-2</v>
      </c>
      <c r="D48">
        <f t="shared" ref="D48:H48" si="43">AVEDEV(L3:L5)</f>
        <v>1.0564918385284514E-2</v>
      </c>
      <c r="E48">
        <f t="shared" si="43"/>
        <v>2.7843581158226463</v>
      </c>
      <c r="F48">
        <f t="shared" si="43"/>
        <v>2.0066666666666655</v>
      </c>
      <c r="G48">
        <f t="shared" si="43"/>
        <v>0.33333333333334597</v>
      </c>
      <c r="H48">
        <f t="shared" si="43"/>
        <v>2.405367381421518</v>
      </c>
      <c r="AA48" s="89" t="s">
        <v>217</v>
      </c>
      <c r="AB48" s="89" t="s">
        <v>218</v>
      </c>
      <c r="AC48" s="89" t="s">
        <v>219</v>
      </c>
      <c r="AD48" s="89" t="s">
        <v>105</v>
      </c>
      <c r="AE48" s="89" t="s">
        <v>194</v>
      </c>
      <c r="AF48" s="89" t="s">
        <v>220</v>
      </c>
      <c r="AG48" s="89" t="s">
        <v>221</v>
      </c>
      <c r="AH48" s="89" t="s">
        <v>222</v>
      </c>
      <c r="AI48" s="89" t="s">
        <v>223</v>
      </c>
      <c r="AJ48" s="89" t="s">
        <v>224</v>
      </c>
    </row>
    <row r="49" spans="2:36" x14ac:dyDescent="0.3">
      <c r="B49" t="s">
        <v>180</v>
      </c>
      <c r="C49">
        <f>[2]!MAD(K3:K5)</f>
        <v>1.1697728249791706E-2</v>
      </c>
      <c r="D49">
        <f>[2]!MAD(L3:L5)</f>
        <v>1.3078496636849055E-2</v>
      </c>
      <c r="E49">
        <f>[2]!MAD(M3:M5)</f>
        <v>0.10172274331313247</v>
      </c>
      <c r="F49">
        <f>[2]!MAD(N3:N5)</f>
        <v>1.230000000000004</v>
      </c>
      <c r="G49">
        <f>[2]!MAD(O3:O5)</f>
        <v>0.16666666666668561</v>
      </c>
      <c r="H49">
        <f>[2]!MAD(P3:P5)</f>
        <v>0.16896406701445787</v>
      </c>
      <c r="AA49" t="s">
        <v>225</v>
      </c>
      <c r="AB49">
        <f>SQRT(AD45*(1/AB43+1/AB44))</f>
        <v>3.9543850064995607</v>
      </c>
      <c r="AC49">
        <f>(ABS(AC43-AC44-AE41))/AB49</f>
        <v>3.5936918686680506</v>
      </c>
      <c r="AD49">
        <f>AB43+AB44-2</f>
        <v>4</v>
      </c>
      <c r="AE49">
        <f>_xlfn.T.DIST.RT(AC49,AD49)</f>
        <v>1.1443186598389258E-2</v>
      </c>
      <c r="AF49">
        <f>_xlfn.T.INV.2T(AF47*2,AD49)</f>
        <v>2.1318467863266499</v>
      </c>
      <c r="AI49" s="90" t="str">
        <f>IF(AE49&lt;AF47,"yes","no")</f>
        <v>yes</v>
      </c>
      <c r="AJ49">
        <f>SQRT(AC49^2/(AC49^2+AD49))</f>
        <v>0.87379528761503711</v>
      </c>
    </row>
    <row r="50" spans="2:36" x14ac:dyDescent="0.3">
      <c r="B50" s="53" t="s">
        <v>181</v>
      </c>
      <c r="C50" s="53">
        <f>[2]!IQR(K3:K5,FALSE)</f>
        <v>3.6698430317181195E-2</v>
      </c>
      <c r="D50" s="53">
        <f>[2]!IQR(L3:L5,FALSE)</f>
        <v>1.5155157342657349E-2</v>
      </c>
      <c r="E50" s="53">
        <f>[2]!IQR(M3:M5,FALSE)</f>
        <v>3.1578335661287582</v>
      </c>
      <c r="F50" s="53">
        <f>[2]!IQR(N3:N5,FALSE)</f>
        <v>2.5649999999999977</v>
      </c>
      <c r="G50" s="53">
        <f>[2]!IQR(O3:O5,FALSE)</f>
        <v>0.41666666666668561</v>
      </c>
      <c r="H50" s="53">
        <f>[2]!IQR(P3:P5,FALSE)</f>
        <v>2.7482793208528218</v>
      </c>
      <c r="AA50" t="s">
        <v>226</v>
      </c>
      <c r="AB50">
        <f>AB49</f>
        <v>3.9543850064995607</v>
      </c>
      <c r="AC50">
        <f t="shared" ref="AC50:AD50" si="44">AC49</f>
        <v>3.5936918686680506</v>
      </c>
      <c r="AD50">
        <f t="shared" si="44"/>
        <v>4</v>
      </c>
      <c r="AE50">
        <f>_xlfn.T.DIST.2T(AC50,AD50)</f>
        <v>2.2886373196778515E-2</v>
      </c>
      <c r="AF50">
        <f>_xlfn.T.INV.2T(AF47,AD50)</f>
        <v>2.7764451051977934</v>
      </c>
      <c r="AG50">
        <f>(AC43-AC44)-AF50*AB50</f>
        <v>-25.189974138803578</v>
      </c>
      <c r="AH50">
        <f>(AC43-AC44)+AF50*AB50</f>
        <v>-3.2317083480770776</v>
      </c>
      <c r="AI50" s="90" t="str">
        <f>IF(AE50&lt;AF47,"yes","no")</f>
        <v>yes</v>
      </c>
      <c r="AJ50">
        <f>AJ49</f>
        <v>0.87379528761503711</v>
      </c>
    </row>
    <row r="51" spans="2:36" x14ac:dyDescent="0.3">
      <c r="AA51" s="73"/>
      <c r="AB51" s="73"/>
      <c r="AC51" s="73"/>
      <c r="AD51" s="73"/>
      <c r="AE51" s="73"/>
      <c r="AF51" s="73"/>
      <c r="AG51" s="73"/>
      <c r="AH51" s="73"/>
      <c r="AI51" s="73"/>
      <c r="AJ51" s="73"/>
    </row>
    <row r="52" spans="2:36" ht="15" thickBot="1" x14ac:dyDescent="0.35">
      <c r="AA52" t="s">
        <v>227</v>
      </c>
      <c r="AE52" t="s">
        <v>216</v>
      </c>
      <c r="AF52">
        <f>AF47</f>
        <v>0.05</v>
      </c>
    </row>
    <row r="53" spans="2:36" ht="15" thickTop="1" x14ac:dyDescent="0.3">
      <c r="AA53" s="89" t="s">
        <v>217</v>
      </c>
      <c r="AB53" s="89" t="s">
        <v>218</v>
      </c>
      <c r="AC53" s="89" t="s">
        <v>219</v>
      </c>
      <c r="AD53" s="89" t="s">
        <v>105</v>
      </c>
      <c r="AE53" s="89" t="s">
        <v>194</v>
      </c>
      <c r="AF53" s="89" t="s">
        <v>220</v>
      </c>
      <c r="AG53" s="89" t="s">
        <v>221</v>
      </c>
      <c r="AH53" s="89" t="s">
        <v>222</v>
      </c>
      <c r="AI53" s="89" t="s">
        <v>223</v>
      </c>
      <c r="AJ53" s="89" t="s">
        <v>224</v>
      </c>
    </row>
    <row r="54" spans="2:36" x14ac:dyDescent="0.3">
      <c r="AA54" t="s">
        <v>225</v>
      </c>
      <c r="AB54">
        <f>SQRT(AD43/AB43+AD44/AB44)</f>
        <v>3.9543850064995607</v>
      </c>
      <c r="AC54">
        <f>(ABS(AC43-AC44-AE41))/AB54</f>
        <v>3.5936918686680506</v>
      </c>
      <c r="AD54">
        <f>(AD43/AB43+AD44/AB44)^2/((AD43/AB43)^2/(AB43-1)+(AD44/AB44)^2/(AB44-1))</f>
        <v>3.3459319102834253</v>
      </c>
      <c r="AE54">
        <f>[2]!T_DIST_RT(AC54,AD54)</f>
        <v>1.5433413862757983E-2</v>
      </c>
      <c r="AF54">
        <f>[2]!T_INV(1-AF52,AD54)</f>
        <v>2.2574090441376478</v>
      </c>
      <c r="AI54" s="90" t="str">
        <f>IF(AE54&lt;AF52,"yes","no")</f>
        <v>yes</v>
      </c>
      <c r="AJ54">
        <f>SQRT(AC54^2/(AC54^2+AD54))</f>
        <v>0.89119589874437111</v>
      </c>
    </row>
    <row r="55" spans="2:36" x14ac:dyDescent="0.3">
      <c r="AA55" t="s">
        <v>226</v>
      </c>
      <c r="AB55">
        <f>AB54</f>
        <v>3.9543850064995607</v>
      </c>
      <c r="AC55">
        <f t="shared" ref="AC55:AD55" si="45">AC54</f>
        <v>3.5936918686680506</v>
      </c>
      <c r="AD55">
        <f t="shared" si="45"/>
        <v>3.3459319102834253</v>
      </c>
      <c r="AE55">
        <f>[2]!T_DIST_2T(AC55,AD55)</f>
        <v>3.0866827725515966E-2</v>
      </c>
      <c r="AF55">
        <f>[2]!T_INV_2T(AF52,AD55)</f>
        <v>3.0041675745593857</v>
      </c>
      <c r="AG55">
        <f>(AC43-AC44)-AF55*AB55</f>
        <v>-26.090476457290116</v>
      </c>
      <c r="AH55">
        <f>(AC43-AC44)+AF55*AB55</f>
        <v>-2.3312060295905415</v>
      </c>
      <c r="AI55" s="90" t="str">
        <f>IF(AE55&lt;AF52,"yes","no")</f>
        <v>yes</v>
      </c>
      <c r="AJ55">
        <f>AJ54</f>
        <v>0.89119589874437111</v>
      </c>
    </row>
    <row r="56" spans="2:36" x14ac:dyDescent="0.3">
      <c r="AA56" s="73"/>
      <c r="AB56" s="73"/>
      <c r="AC56" s="73"/>
      <c r="AD56" s="73"/>
      <c r="AE56" s="73"/>
      <c r="AF56" s="73"/>
      <c r="AG56" s="73"/>
      <c r="AH56" s="73"/>
      <c r="AI56" s="73"/>
      <c r="AJ56" s="73"/>
    </row>
    <row r="58" spans="2:36" x14ac:dyDescent="0.3">
      <c r="AA58" t="s">
        <v>209</v>
      </c>
    </row>
    <row r="60" spans="2:36" ht="15" thickBot="1" x14ac:dyDescent="0.35">
      <c r="AA60" t="s">
        <v>210</v>
      </c>
      <c r="AD60" t="s">
        <v>211</v>
      </c>
      <c r="AE60">
        <v>0</v>
      </c>
    </row>
    <row r="61" spans="2:36" ht="15" thickTop="1" x14ac:dyDescent="0.3">
      <c r="AA61" s="89" t="s">
        <v>212</v>
      </c>
      <c r="AB61" s="89" t="s">
        <v>176</v>
      </c>
      <c r="AC61" s="89" t="s">
        <v>100</v>
      </c>
      <c r="AD61" s="89" t="s">
        <v>101</v>
      </c>
      <c r="AE61" s="89" t="s">
        <v>213</v>
      </c>
    </row>
    <row r="62" spans="2:36" x14ac:dyDescent="0.3">
      <c r="AA62" t="str">
        <f>F2</f>
        <v>Carbon (%)</v>
      </c>
      <c r="AB62">
        <f>COUNT(F3:F5)</f>
        <v>3</v>
      </c>
      <c r="AC62" s="49">
        <f>AVERAGE(F3:F5)</f>
        <v>51.808333333333337</v>
      </c>
      <c r="AD62">
        <f>_xlfn.VAR.S(F3:F5)</f>
        <v>0.6155583333333281</v>
      </c>
    </row>
    <row r="63" spans="2:36" x14ac:dyDescent="0.3">
      <c r="AA63" t="str">
        <f>N2</f>
        <v>Carbon (%)</v>
      </c>
      <c r="AB63">
        <f>COUNT(N3:N5)</f>
        <v>3</v>
      </c>
      <c r="AC63" s="49">
        <f>AVERAGE(N3:N5)</f>
        <v>52.754999999999995</v>
      </c>
      <c r="AD63">
        <f>_xlfn.VAR.S(N3:N5)</f>
        <v>7.1732999999999834</v>
      </c>
    </row>
    <row r="64" spans="2:36" x14ac:dyDescent="0.3">
      <c r="AA64" s="73" t="s">
        <v>214</v>
      </c>
      <c r="AB64" s="73"/>
      <c r="AC64" s="73"/>
      <c r="AD64" s="73">
        <f>((AB62-1)*AD62+(AB63-1)*AD63)/(AB62+AB63-2)</f>
        <v>3.8944291666666557</v>
      </c>
      <c r="AE64" s="73">
        <f>ABS(AC62-AC63-AE60)/SQRT(AD64)</f>
        <v>0.47970603341402096</v>
      </c>
    </row>
    <row r="66" spans="27:36" ht="15" thickBot="1" x14ac:dyDescent="0.35">
      <c r="AA66" t="s">
        <v>215</v>
      </c>
      <c r="AE66" t="s">
        <v>216</v>
      </c>
      <c r="AF66">
        <v>0.05</v>
      </c>
    </row>
    <row r="67" spans="27:36" ht="15" thickTop="1" x14ac:dyDescent="0.3">
      <c r="AA67" s="89" t="s">
        <v>217</v>
      </c>
      <c r="AB67" s="89" t="s">
        <v>218</v>
      </c>
      <c r="AC67" s="89" t="s">
        <v>219</v>
      </c>
      <c r="AD67" s="89" t="s">
        <v>105</v>
      </c>
      <c r="AE67" s="89" t="s">
        <v>194</v>
      </c>
      <c r="AF67" s="89" t="s">
        <v>220</v>
      </c>
      <c r="AG67" s="89" t="s">
        <v>221</v>
      </c>
      <c r="AH67" s="89" t="s">
        <v>222</v>
      </c>
      <c r="AI67" s="89" t="s">
        <v>223</v>
      </c>
      <c r="AJ67" s="89" t="s">
        <v>224</v>
      </c>
    </row>
    <row r="68" spans="27:36" x14ac:dyDescent="0.3">
      <c r="AA68" t="s">
        <v>225</v>
      </c>
      <c r="AB68">
        <f>SQRT(AD64*(1/AB62+1/AB63))</f>
        <v>1.6112995100573646</v>
      </c>
      <c r="AC68">
        <f>(ABS(AC62-AC63-AE60))/AB68</f>
        <v>0.5875175041994245</v>
      </c>
      <c r="AD68">
        <f>AB62+AB63-2</f>
        <v>4</v>
      </c>
      <c r="AE68">
        <f>_xlfn.T.DIST.RT(AC68,AD68)</f>
        <v>0.29421042856862878</v>
      </c>
      <c r="AF68">
        <f>_xlfn.T.INV.2T(AF66*2,AD68)</f>
        <v>2.1318467863266499</v>
      </c>
      <c r="AI68" s="90" t="str">
        <f>IF(AE68&lt;AF66,"yes","no")</f>
        <v>no</v>
      </c>
      <c r="AJ68">
        <f>SQRT(AC68^2/(AC68^2+AD68))</f>
        <v>0.281849379710361</v>
      </c>
    </row>
    <row r="69" spans="27:36" x14ac:dyDescent="0.3">
      <c r="AA69" t="s">
        <v>226</v>
      </c>
      <c r="AB69">
        <f>AB68</f>
        <v>1.6112995100573646</v>
      </c>
      <c r="AC69">
        <f t="shared" ref="AC69:AD69" si="46">AC68</f>
        <v>0.5875175041994245</v>
      </c>
      <c r="AD69">
        <f t="shared" si="46"/>
        <v>4</v>
      </c>
      <c r="AE69">
        <f>_xlfn.T.DIST.2T(AC69,AD69)</f>
        <v>0.58842085713725756</v>
      </c>
      <c r="AF69">
        <f>_xlfn.T.INV.2T(AF66,AD69)</f>
        <v>2.7764451051977934</v>
      </c>
      <c r="AG69">
        <f>(AC62-AC63)-AF69*AB69</f>
        <v>-5.4203513043730309</v>
      </c>
      <c r="AH69">
        <f>(AC62-AC63)+AF69*AB69</f>
        <v>3.5270179710397143</v>
      </c>
      <c r="AI69" s="90" t="str">
        <f>IF(AE69&lt;AF66,"yes","no")</f>
        <v>no</v>
      </c>
      <c r="AJ69">
        <f>AJ68</f>
        <v>0.281849379710361</v>
      </c>
    </row>
    <row r="70" spans="27:36" x14ac:dyDescent="0.3">
      <c r="AA70" s="73"/>
      <c r="AB70" s="73"/>
      <c r="AC70" s="73"/>
      <c r="AD70" s="73"/>
      <c r="AE70" s="73"/>
      <c r="AF70" s="73"/>
      <c r="AG70" s="73"/>
      <c r="AH70" s="73"/>
      <c r="AI70" s="73"/>
      <c r="AJ70" s="73"/>
    </row>
    <row r="71" spans="27:36" ht="15" thickBot="1" x14ac:dyDescent="0.35">
      <c r="AA71" t="s">
        <v>227</v>
      </c>
      <c r="AE71" t="s">
        <v>216</v>
      </c>
      <c r="AF71">
        <f>AF66</f>
        <v>0.05</v>
      </c>
    </row>
    <row r="72" spans="27:36" ht="15" thickTop="1" x14ac:dyDescent="0.3">
      <c r="AA72" s="89" t="s">
        <v>217</v>
      </c>
      <c r="AB72" s="89" t="s">
        <v>218</v>
      </c>
      <c r="AC72" s="89" t="s">
        <v>219</v>
      </c>
      <c r="AD72" s="89" t="s">
        <v>105</v>
      </c>
      <c r="AE72" s="89" t="s">
        <v>194</v>
      </c>
      <c r="AF72" s="89" t="s">
        <v>220</v>
      </c>
      <c r="AG72" s="89" t="s">
        <v>221</v>
      </c>
      <c r="AH72" s="89" t="s">
        <v>222</v>
      </c>
      <c r="AI72" s="89" t="s">
        <v>223</v>
      </c>
      <c r="AJ72" s="89" t="s">
        <v>224</v>
      </c>
    </row>
    <row r="73" spans="27:36" x14ac:dyDescent="0.3">
      <c r="AA73" t="s">
        <v>225</v>
      </c>
      <c r="AB73">
        <f>SQRT(AD62/AB62+AD63/AB63)</f>
        <v>1.6112995100573648</v>
      </c>
      <c r="AC73">
        <f>(ABS(AC62-AC63-AE60))/AB73</f>
        <v>0.58751750419942439</v>
      </c>
      <c r="AD73">
        <f>(AD62/AB62+AD63/AB63)^2/((AD62/AB62)^2/(AB62-1)+(AD63/AB63)^2/(AB63-1))</f>
        <v>2.3407405995767041</v>
      </c>
      <c r="AE73">
        <f>[2]!T_DIST_RT(AC73,AD73)</f>
        <v>0.30430320172192804</v>
      </c>
      <c r="AF73">
        <f>[2]!T_INV(1-AF71,AD73)</f>
        <v>2.6497892771855813</v>
      </c>
      <c r="AI73" s="90" t="str">
        <f>IF(AE73&lt;AF71,"yes","no")</f>
        <v>no</v>
      </c>
      <c r="AJ73">
        <f>SQRT(AC73^2/(AC73^2+AD73))</f>
        <v>0.35848788430387962</v>
      </c>
    </row>
    <row r="74" spans="27:36" x14ac:dyDescent="0.3">
      <c r="AA74" t="s">
        <v>226</v>
      </c>
      <c r="AB74">
        <f>AB73</f>
        <v>1.6112995100573648</v>
      </c>
      <c r="AC74">
        <f t="shared" ref="AC74:AD74" si="47">AC73</f>
        <v>0.58751750419942439</v>
      </c>
      <c r="AD74">
        <f t="shared" si="47"/>
        <v>2.3407405995767041</v>
      </c>
      <c r="AE74">
        <f>[2]!T_DIST_2T(AC74,AD74)</f>
        <v>0.60860640344385608</v>
      </c>
      <c r="AF74">
        <f>[2]!T_INV_2T(AF71,AD74)</f>
        <v>3.754815280220078</v>
      </c>
      <c r="AG74">
        <f>(AC62-AC63)-AF74*AB74</f>
        <v>-6.996798688041177</v>
      </c>
      <c r="AH74">
        <f>(AC62-AC63)+AF74*AB74</f>
        <v>5.1034653547078603</v>
      </c>
      <c r="AI74" s="90" t="str">
        <f>IF(AE74&lt;AF71,"yes","no")</f>
        <v>no</v>
      </c>
      <c r="AJ74">
        <f>AJ73</f>
        <v>0.35848788430387962</v>
      </c>
    </row>
    <row r="75" spans="27:36" x14ac:dyDescent="0.3">
      <c r="AA75" s="73"/>
      <c r="AB75" s="73"/>
      <c r="AC75" s="73"/>
      <c r="AD75" s="73"/>
      <c r="AE75" s="73"/>
      <c r="AF75" s="73"/>
      <c r="AG75" s="73"/>
      <c r="AH75" s="73"/>
      <c r="AI75" s="73"/>
      <c r="AJ75" s="73"/>
    </row>
    <row r="77" spans="27:36" x14ac:dyDescent="0.3">
      <c r="AA77" t="s">
        <v>209</v>
      </c>
    </row>
    <row r="79" spans="27:36" ht="15" thickBot="1" x14ac:dyDescent="0.35">
      <c r="AA79" t="s">
        <v>210</v>
      </c>
      <c r="AD79" t="s">
        <v>211</v>
      </c>
      <c r="AE79">
        <v>0</v>
      </c>
    </row>
    <row r="80" spans="27:36" ht="15" thickTop="1" x14ac:dyDescent="0.3">
      <c r="AA80" s="89" t="s">
        <v>212</v>
      </c>
      <c r="AB80" s="89" t="s">
        <v>176</v>
      </c>
      <c r="AC80" s="89" t="s">
        <v>100</v>
      </c>
      <c r="AD80" s="89" t="s">
        <v>101</v>
      </c>
      <c r="AE80" s="89" t="s">
        <v>213</v>
      </c>
    </row>
    <row r="81" spans="27:36" x14ac:dyDescent="0.3">
      <c r="AA81" t="str">
        <f>G2</f>
        <v>Subsiden (cm/tahun)</v>
      </c>
      <c r="AB81">
        <f>COUNT(G3:G5)</f>
        <v>3</v>
      </c>
      <c r="AC81" s="49">
        <f>AVERAGE(G3:G5)</f>
        <v>5.5555555555555429</v>
      </c>
      <c r="AD81">
        <f>_xlfn.VAR.S(G3:G5)</f>
        <v>0.70370370370375923</v>
      </c>
    </row>
    <row r="82" spans="27:36" x14ac:dyDescent="0.3">
      <c r="AA82" t="str">
        <f>O2</f>
        <v>Subsiden (cm/tahun)</v>
      </c>
      <c r="AB82">
        <f>COUNT(O3:O5)</f>
        <v>3</v>
      </c>
      <c r="AC82" s="49">
        <f>AVERAGE(O3:O5)</f>
        <v>1.8333333333333524</v>
      </c>
      <c r="AD82">
        <f>_xlfn.VAR.S(O3:O5)</f>
        <v>0.19444444444446063</v>
      </c>
    </row>
    <row r="83" spans="27:36" x14ac:dyDescent="0.3">
      <c r="AA83" s="73" t="s">
        <v>214</v>
      </c>
      <c r="AB83" s="73"/>
      <c r="AC83" s="73"/>
      <c r="AD83" s="73">
        <f>((AB81-1)*AD81+(AB82-1)*AD82)/(AB81+AB82-2)</f>
        <v>0.44907407407410993</v>
      </c>
      <c r="AE83" s="73">
        <f>ABS(AC81-AC82-AE79)/SQRT(AD83)</f>
        <v>5.5544787043405748</v>
      </c>
    </row>
    <row r="85" spans="27:36" ht="15" thickBot="1" x14ac:dyDescent="0.35">
      <c r="AA85" t="s">
        <v>215</v>
      </c>
      <c r="AE85" t="s">
        <v>216</v>
      </c>
      <c r="AF85">
        <v>0.05</v>
      </c>
    </row>
    <row r="86" spans="27:36" ht="15" thickTop="1" x14ac:dyDescent="0.3">
      <c r="AA86" s="89" t="s">
        <v>217</v>
      </c>
      <c r="AB86" s="89" t="s">
        <v>218</v>
      </c>
      <c r="AC86" s="89" t="s">
        <v>219</v>
      </c>
      <c r="AD86" s="89" t="s">
        <v>105</v>
      </c>
      <c r="AE86" s="89" t="s">
        <v>194</v>
      </c>
      <c r="AF86" s="89" t="s">
        <v>220</v>
      </c>
      <c r="AG86" s="89" t="s">
        <v>221</v>
      </c>
      <c r="AH86" s="89" t="s">
        <v>222</v>
      </c>
      <c r="AI86" s="89" t="s">
        <v>223</v>
      </c>
      <c r="AJ86" s="89" t="s">
        <v>224</v>
      </c>
    </row>
    <row r="87" spans="27:36" x14ac:dyDescent="0.3">
      <c r="AA87" t="s">
        <v>225</v>
      </c>
      <c r="AB87">
        <f>SQRT(AD83*(1/AB81+1/AB82))</f>
        <v>0.54715876676647213</v>
      </c>
      <c r="AC87">
        <f>(ABS(AC81-AC82-AE79))/AB87</f>
        <v>6.8028193063949178</v>
      </c>
      <c r="AD87">
        <f>AB81+AB82-2</f>
        <v>4</v>
      </c>
      <c r="AE87">
        <f>_xlfn.T.DIST.RT(AC87,AD87)</f>
        <v>1.2197090754841602E-3</v>
      </c>
      <c r="AF87">
        <f>_xlfn.T.INV.2T(AF85*2,AD87)</f>
        <v>2.1318467863266499</v>
      </c>
      <c r="AI87" s="90" t="str">
        <f>IF(AE87&lt;AF85,"yes","no")</f>
        <v>yes</v>
      </c>
      <c r="AJ87">
        <f>SQRT(AC87^2/(AC87^2+AD87))</f>
        <v>0.95939715197746223</v>
      </c>
    </row>
    <row r="88" spans="27:36" x14ac:dyDescent="0.3">
      <c r="AA88" t="s">
        <v>226</v>
      </c>
      <c r="AB88">
        <f>AB87</f>
        <v>0.54715876676647213</v>
      </c>
      <c r="AC88">
        <f t="shared" ref="AC88:AD88" si="48">AC87</f>
        <v>6.8028193063949178</v>
      </c>
      <c r="AD88">
        <f t="shared" si="48"/>
        <v>4</v>
      </c>
      <c r="AE88">
        <f>_xlfn.T.DIST.2T(AC88,AD88)</f>
        <v>2.4394181509683204E-3</v>
      </c>
      <c r="AF88">
        <f>_xlfn.T.INV.2T(AF85,AD88)</f>
        <v>2.7764451051977934</v>
      </c>
      <c r="AG88">
        <f>(AC81-AC82)-AF88*AB88</f>
        <v>2.203065942467358</v>
      </c>
      <c r="AH88">
        <f>(AC81-AC82)+AF88*AB88</f>
        <v>5.2413785019770227</v>
      </c>
      <c r="AI88" s="90" t="str">
        <f>IF(AE88&lt;AF85,"yes","no")</f>
        <v>yes</v>
      </c>
      <c r="AJ88">
        <f>AJ87</f>
        <v>0.95939715197746223</v>
      </c>
    </row>
    <row r="89" spans="27:36" x14ac:dyDescent="0.3">
      <c r="AA89" s="73"/>
      <c r="AB89" s="73"/>
      <c r="AC89" s="73"/>
      <c r="AD89" s="73"/>
      <c r="AE89" s="73"/>
      <c r="AF89" s="73"/>
      <c r="AG89" s="73"/>
      <c r="AH89" s="73"/>
      <c r="AI89" s="73"/>
      <c r="AJ89" s="73"/>
    </row>
    <row r="90" spans="27:36" ht="15" thickBot="1" x14ac:dyDescent="0.35">
      <c r="AA90" t="s">
        <v>227</v>
      </c>
      <c r="AE90" t="s">
        <v>216</v>
      </c>
      <c r="AF90">
        <f>AF85</f>
        <v>0.05</v>
      </c>
    </row>
    <row r="91" spans="27:36" ht="15" thickTop="1" x14ac:dyDescent="0.3">
      <c r="AA91" s="89" t="s">
        <v>217</v>
      </c>
      <c r="AB91" s="89" t="s">
        <v>218</v>
      </c>
      <c r="AC91" s="89" t="s">
        <v>219</v>
      </c>
      <c r="AD91" s="89" t="s">
        <v>105</v>
      </c>
      <c r="AE91" s="89" t="s">
        <v>194</v>
      </c>
      <c r="AF91" s="89" t="s">
        <v>220</v>
      </c>
      <c r="AG91" s="89" t="s">
        <v>221</v>
      </c>
      <c r="AH91" s="89" t="s">
        <v>222</v>
      </c>
      <c r="AI91" s="89" t="s">
        <v>223</v>
      </c>
      <c r="AJ91" s="89" t="s">
        <v>224</v>
      </c>
    </row>
    <row r="92" spans="27:36" x14ac:dyDescent="0.3">
      <c r="AA92" t="s">
        <v>225</v>
      </c>
      <c r="AB92">
        <f>SQRT(AD81/AB81+AD82/AB82)</f>
        <v>0.54715876676647213</v>
      </c>
      <c r="AC92">
        <f>(ABS(AC81-AC82-AE79))/AB92</f>
        <v>6.8028193063949178</v>
      </c>
      <c r="AD92">
        <f>(AD81/AB81+AD82/AB82)^2/((AD81/AB81)^2/(AB81-1)+(AD82/AB82)^2/(AB82-1))</f>
        <v>3.0268618304648576</v>
      </c>
      <c r="AE92">
        <f>[2]!T_DIST_RT(AC92,AD92)</f>
        <v>3.1566482143781105E-3</v>
      </c>
      <c r="AF92">
        <f>[2]!T_INV(1-AF90,AD92)</f>
        <v>2.3448734830722811</v>
      </c>
      <c r="AI92" s="90" t="str">
        <f>IF(AE92&lt;AF90,"yes","no")</f>
        <v>yes</v>
      </c>
      <c r="AJ92">
        <f>SQRT(AC92^2/(AC92^2+AD92))</f>
        <v>0.96881871313748369</v>
      </c>
    </row>
    <row r="93" spans="27:36" x14ac:dyDescent="0.3">
      <c r="AA93" t="s">
        <v>226</v>
      </c>
      <c r="AB93">
        <f>AB92</f>
        <v>0.54715876676647213</v>
      </c>
      <c r="AC93">
        <f t="shared" ref="AC93:AD93" si="49">AC92</f>
        <v>6.8028193063949178</v>
      </c>
      <c r="AD93">
        <f t="shared" si="49"/>
        <v>3.0268618304648576</v>
      </c>
      <c r="AE93">
        <f>[2]!T_DIST_2T(AC93,AD93)</f>
        <v>6.313296428756221E-3</v>
      </c>
      <c r="AF93">
        <f>[2]!T_INV_2T(AF90,AD93)</f>
        <v>3.1665283972313567</v>
      </c>
      <c r="AG93">
        <f>(AC81-AC82)-AF93*AB93</f>
        <v>1.9896284494620677</v>
      </c>
      <c r="AH93">
        <f>(AC81-AC82)+AF93*AB93</f>
        <v>5.4548159949823134</v>
      </c>
      <c r="AI93" s="90" t="str">
        <f>IF(AE93&lt;AF90,"yes","no")</f>
        <v>yes</v>
      </c>
      <c r="AJ93">
        <f>AJ92</f>
        <v>0.96881871313748369</v>
      </c>
    </row>
    <row r="94" spans="27:36" x14ac:dyDescent="0.3">
      <c r="AA94" s="73"/>
      <c r="AB94" s="73"/>
      <c r="AC94" s="73"/>
      <c r="AD94" s="73"/>
      <c r="AE94" s="73"/>
      <c r="AF94" s="73"/>
      <c r="AG94" s="73"/>
      <c r="AH94" s="73"/>
      <c r="AI94" s="73"/>
      <c r="AJ94" s="73"/>
    </row>
    <row r="96" spans="27:36" x14ac:dyDescent="0.3">
      <c r="AA96" t="s">
        <v>209</v>
      </c>
    </row>
    <row r="98" spans="27:36" ht="15" thickBot="1" x14ac:dyDescent="0.35">
      <c r="AA98" t="s">
        <v>210</v>
      </c>
      <c r="AD98" t="s">
        <v>211</v>
      </c>
      <c r="AE98">
        <v>0</v>
      </c>
    </row>
    <row r="99" spans="27:36" ht="15" thickTop="1" x14ac:dyDescent="0.3">
      <c r="AA99" s="89" t="s">
        <v>212</v>
      </c>
      <c r="AB99" s="89" t="s">
        <v>176</v>
      </c>
      <c r="AC99" s="89" t="s">
        <v>100</v>
      </c>
      <c r="AD99" s="89" t="s">
        <v>101</v>
      </c>
      <c r="AE99" s="89" t="s">
        <v>213</v>
      </c>
    </row>
    <row r="100" spans="27:36" x14ac:dyDescent="0.3">
      <c r="AA100" t="str">
        <f>H2</f>
        <v>Loss Carbon (t C ha-1)</v>
      </c>
      <c r="AB100">
        <f>COUNT(H3:H5)</f>
        <v>3</v>
      </c>
      <c r="AC100" s="49">
        <f>AVERAGE(H3:H5)</f>
        <v>35.526295917866321</v>
      </c>
      <c r="AD100">
        <f>_xlfn.VAR.S(H3:H5)</f>
        <v>13.917874615305854</v>
      </c>
    </row>
    <row r="101" spans="27:36" x14ac:dyDescent="0.3">
      <c r="AA101" t="str">
        <f>P2</f>
        <v>Loss Carbon (t C ha-1)</v>
      </c>
      <c r="AB101">
        <f>COUNT(P3:P5)</f>
        <v>3</v>
      </c>
      <c r="AC101" s="79">
        <f>AVERAGE(P3:P5)</f>
        <v>9.2398175443209247</v>
      </c>
      <c r="AD101">
        <f>_xlfn.VAR.S(P3:P5)</f>
        <v>9.7706616183216681</v>
      </c>
    </row>
    <row r="102" spans="27:36" x14ac:dyDescent="0.3">
      <c r="AA102" s="73" t="s">
        <v>214</v>
      </c>
      <c r="AB102" s="73"/>
      <c r="AC102" s="73"/>
      <c r="AD102" s="73">
        <f>((AB100-1)*AD100+(AB101-1)*AD101)/(AB100+AB101-2)</f>
        <v>11.844268116813762</v>
      </c>
      <c r="AE102" s="73">
        <f>ABS(AC100-AC101-AE98)/SQRT(AD102)</f>
        <v>7.63797604893763</v>
      </c>
    </row>
    <row r="104" spans="27:36" ht="15" thickBot="1" x14ac:dyDescent="0.35">
      <c r="AA104" t="s">
        <v>215</v>
      </c>
      <c r="AE104" t="s">
        <v>216</v>
      </c>
      <c r="AF104">
        <v>0.05</v>
      </c>
    </row>
    <row r="105" spans="27:36" ht="15" thickTop="1" x14ac:dyDescent="0.3">
      <c r="AA105" s="89" t="s">
        <v>217</v>
      </c>
      <c r="AB105" s="89" t="s">
        <v>218</v>
      </c>
      <c r="AC105" s="89" t="s">
        <v>219</v>
      </c>
      <c r="AD105" s="89" t="s">
        <v>105</v>
      </c>
      <c r="AE105" s="89" t="s">
        <v>194</v>
      </c>
      <c r="AF105" s="89" t="s">
        <v>220</v>
      </c>
      <c r="AG105" s="89" t="s">
        <v>221</v>
      </c>
      <c r="AH105" s="89" t="s">
        <v>222</v>
      </c>
      <c r="AI105" s="89" t="s">
        <v>223</v>
      </c>
      <c r="AJ105" s="89" t="s">
        <v>224</v>
      </c>
    </row>
    <row r="106" spans="27:36" x14ac:dyDescent="0.3">
      <c r="AA106" t="s">
        <v>225</v>
      </c>
      <c r="AB106">
        <f>SQRT(AD102*(1/AB100+1/AB101))</f>
        <v>2.8100140114494994</v>
      </c>
      <c r="AC106">
        <f>(ABS(AC100-AC101-AE98))/AB106</f>
        <v>9.3545719937481557</v>
      </c>
      <c r="AD106">
        <f>AB100+AB101-2</f>
        <v>4</v>
      </c>
      <c r="AE106">
        <f>_xlfn.T.DIST.RT(AC106,AD106)</f>
        <v>3.6361619175723632E-4</v>
      </c>
      <c r="AF106">
        <f>_xlfn.T.INV.2T(AF104*2,AD106)</f>
        <v>2.1318467863266499</v>
      </c>
      <c r="AI106" s="90" t="str">
        <f>IF(AE106&lt;AF104,"yes","no")</f>
        <v>yes</v>
      </c>
      <c r="AJ106">
        <f>SQRT(AC106^2/(AC106^2+AD106))</f>
        <v>0.97789978169108671</v>
      </c>
    </row>
    <row r="107" spans="27:36" x14ac:dyDescent="0.3">
      <c r="AA107" t="s">
        <v>226</v>
      </c>
      <c r="AB107">
        <f>AB106</f>
        <v>2.8100140114494994</v>
      </c>
      <c r="AC107">
        <f t="shared" ref="AC107:AD107" si="50">AC106</f>
        <v>9.3545719937481557</v>
      </c>
      <c r="AD107">
        <f t="shared" si="50"/>
        <v>4</v>
      </c>
      <c r="AE107">
        <f>_xlfn.T.DIST.2T(AC107,AD107)</f>
        <v>7.2723238351447264E-4</v>
      </c>
      <c r="AF107">
        <f>_xlfn.T.INV.2T(AF104,AD107)</f>
        <v>2.7764451051977934</v>
      </c>
      <c r="AG107">
        <f>(AC100-AC101)-AF107*AB107</f>
        <v>18.484628725919215</v>
      </c>
      <c r="AH107">
        <f>(AC100-AC101)+AF107*AB107</f>
        <v>34.088328021171577</v>
      </c>
      <c r="AI107" s="90" t="str">
        <f>IF(AE107&lt;AF104,"yes","no")</f>
        <v>yes</v>
      </c>
      <c r="AJ107">
        <f>AJ106</f>
        <v>0.97789978169108671</v>
      </c>
    </row>
    <row r="108" spans="27:36" x14ac:dyDescent="0.3">
      <c r="AA108" s="73"/>
      <c r="AB108" s="73"/>
      <c r="AC108" s="73"/>
      <c r="AD108" s="73"/>
      <c r="AE108" s="73"/>
      <c r="AF108" s="73"/>
      <c r="AG108" s="73"/>
      <c r="AH108" s="73"/>
      <c r="AI108" s="73"/>
      <c r="AJ108" s="73"/>
    </row>
    <row r="109" spans="27:36" ht="15" thickBot="1" x14ac:dyDescent="0.35">
      <c r="AA109" t="s">
        <v>227</v>
      </c>
      <c r="AE109" t="s">
        <v>216</v>
      </c>
      <c r="AF109">
        <f>AF104</f>
        <v>0.05</v>
      </c>
    </row>
    <row r="110" spans="27:36" ht="15" thickTop="1" x14ac:dyDescent="0.3">
      <c r="AA110" s="89" t="s">
        <v>217</v>
      </c>
      <c r="AB110" s="89" t="s">
        <v>218</v>
      </c>
      <c r="AC110" s="89" t="s">
        <v>219</v>
      </c>
      <c r="AD110" s="89" t="s">
        <v>105</v>
      </c>
      <c r="AE110" s="89" t="s">
        <v>194</v>
      </c>
      <c r="AF110" s="89" t="s">
        <v>220</v>
      </c>
      <c r="AG110" s="89" t="s">
        <v>221</v>
      </c>
      <c r="AH110" s="89" t="s">
        <v>222</v>
      </c>
      <c r="AI110" s="89" t="s">
        <v>223</v>
      </c>
      <c r="AJ110" s="89" t="s">
        <v>224</v>
      </c>
    </row>
    <row r="111" spans="27:36" x14ac:dyDescent="0.3">
      <c r="AA111" t="s">
        <v>225</v>
      </c>
      <c r="AB111">
        <f>SQRT(AD100/AB100+AD101/AB101)</f>
        <v>2.8100140114494994</v>
      </c>
      <c r="AC111">
        <f>(ABS(AC100-AC101-AE98))/AB111</f>
        <v>9.3545719937481557</v>
      </c>
      <c r="AD111">
        <f>(AD100/AB100+AD101/AB101)^2/((AD100/AB100)^2/(AB100-1)+(AD101/AB101)^2/(AB101-1))</f>
        <v>3.8810444132830959</v>
      </c>
      <c r="AE111">
        <f>[2]!T_DIST_RT(AC111,AD111)</f>
        <v>4.1941912778631352E-4</v>
      </c>
      <c r="AF111">
        <f>[2]!T_INV(1-AF109,AD111)</f>
        <v>2.1507601701045926</v>
      </c>
      <c r="AI111" s="90" t="str">
        <f>IF(AE111&lt;AF109,"yes","no")</f>
        <v>yes</v>
      </c>
      <c r="AJ111">
        <f>SQRT(AC111^2/(AC111^2+AD111))</f>
        <v>0.97853601107692434</v>
      </c>
    </row>
    <row r="112" spans="27:36" x14ac:dyDescent="0.3">
      <c r="AA112" t="s">
        <v>226</v>
      </c>
      <c r="AB112">
        <f>AB111</f>
        <v>2.8100140114494994</v>
      </c>
      <c r="AC112">
        <f t="shared" ref="AC112:AD112" si="51">AC111</f>
        <v>9.3545719937481557</v>
      </c>
      <c r="AD112">
        <f t="shared" si="51"/>
        <v>3.8810444132830959</v>
      </c>
      <c r="AE112">
        <f>[2]!T_DIST_2T(AC112,AD112)</f>
        <v>8.3883825557262703E-4</v>
      </c>
      <c r="AF112">
        <f>[2]!T_INV_2T(AF109,AD112)</f>
        <v>2.8103307133108566</v>
      </c>
      <c r="AG112">
        <f>(AC100-AC101)-AF112*AB112</f>
        <v>18.389409692335022</v>
      </c>
      <c r="AH112">
        <f>(AC100-AC101)+AF112*AB112</f>
        <v>34.18354705475577</v>
      </c>
      <c r="AI112" s="90" t="str">
        <f>IF(AE112&lt;AF109,"yes","no")</f>
        <v>yes</v>
      </c>
      <c r="AJ112">
        <f>AJ111</f>
        <v>0.97853601107692434</v>
      </c>
    </row>
    <row r="113" spans="27:36" x14ac:dyDescent="0.3">
      <c r="AA113" s="73"/>
      <c r="AB113" s="73"/>
      <c r="AC113" s="73"/>
      <c r="AD113" s="73"/>
      <c r="AE113" s="73"/>
      <c r="AF113" s="73"/>
      <c r="AG113" s="73"/>
      <c r="AH113" s="73"/>
      <c r="AI113" s="73"/>
      <c r="AJ113" s="73"/>
    </row>
  </sheetData>
  <mergeCells count="23">
    <mergeCell ref="B31:H31"/>
    <mergeCell ref="J31:P31"/>
    <mergeCell ref="S1:S2"/>
    <mergeCell ref="A1:G1"/>
    <mergeCell ref="I1:O1"/>
    <mergeCell ref="T1:T2"/>
    <mergeCell ref="U1:U2"/>
    <mergeCell ref="V1:V2"/>
    <mergeCell ref="W1:W2"/>
    <mergeCell ref="A8:G8"/>
    <mergeCell ref="J8:P8"/>
    <mergeCell ref="Y13:Y14"/>
    <mergeCell ref="S3:S4"/>
    <mergeCell ref="S5:S6"/>
    <mergeCell ref="S7:S8"/>
    <mergeCell ref="S9:S10"/>
    <mergeCell ref="S11:S12"/>
    <mergeCell ref="S13:S14"/>
    <mergeCell ref="Y3:Y4"/>
    <mergeCell ref="Y5:Y6"/>
    <mergeCell ref="Y7:Y8"/>
    <mergeCell ref="Y9:Y10"/>
    <mergeCell ref="Y11:Y12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B3" sqref="B3"/>
    </sheetView>
  </sheetViews>
  <sheetFormatPr defaultRowHeight="14.4" x14ac:dyDescent="0.3"/>
  <cols>
    <col min="1" max="1" width="6.109375" bestFit="1" customWidth="1"/>
    <col min="2" max="2" width="11.109375" bestFit="1" customWidth="1"/>
    <col min="3" max="3" width="9" bestFit="1" customWidth="1"/>
    <col min="4" max="4" width="15.109375" bestFit="1" customWidth="1"/>
    <col min="5" max="5" width="14.77734375" customWidth="1"/>
  </cols>
  <sheetData>
    <row r="1" spans="1:5" x14ac:dyDescent="0.3">
      <c r="A1" s="113" t="s">
        <v>56</v>
      </c>
      <c r="B1" s="115" t="s">
        <v>201</v>
      </c>
      <c r="C1" s="115" t="s">
        <v>202</v>
      </c>
      <c r="D1" s="115" t="s">
        <v>159</v>
      </c>
      <c r="E1" s="113" t="s">
        <v>203</v>
      </c>
    </row>
    <row r="2" spans="1:5" ht="15" thickBot="1" x14ac:dyDescent="0.35">
      <c r="A2" s="114"/>
      <c r="B2" s="116"/>
      <c r="C2" s="116"/>
      <c r="D2" s="116"/>
      <c r="E2" s="114"/>
    </row>
    <row r="3" spans="1:5" ht="15" thickBot="1" x14ac:dyDescent="0.35">
      <c r="A3" s="75" t="s">
        <v>140</v>
      </c>
      <c r="B3" s="78">
        <f>'Resume All'!D3</f>
        <v>0.11639015151515153</v>
      </c>
      <c r="C3" s="78">
        <f>'Resume All'!F3</f>
        <v>51.650000000000006</v>
      </c>
      <c r="D3" s="78">
        <f>'Resume All'!G3</f>
        <v>5.6666666666666288</v>
      </c>
      <c r="E3" s="76">
        <f>C3%*D3*B3*100</f>
        <v>34.06545751262604</v>
      </c>
    </row>
    <row r="4" spans="1:5" ht="15" thickBot="1" x14ac:dyDescent="0.35">
      <c r="A4" s="75" t="s">
        <v>137</v>
      </c>
      <c r="B4" s="78">
        <f>'Resume All'!D4</f>
        <v>0.12283855799373042</v>
      </c>
      <c r="C4" s="78">
        <f>'Resume All'!F4</f>
        <v>51.115000000000002</v>
      </c>
      <c r="D4" s="78">
        <f>'Resume All'!G4</f>
        <v>6.3333333333333712</v>
      </c>
      <c r="E4" s="76">
        <f t="shared" ref="E4:E8" si="0">C4%*D4*B4*100</f>
        <v>39.766321648380597</v>
      </c>
    </row>
    <row r="5" spans="1:5" ht="15" thickBot="1" x14ac:dyDescent="0.35">
      <c r="A5" s="75" t="s">
        <v>132</v>
      </c>
      <c r="B5" s="78">
        <f>'Resume All'!D5</f>
        <v>0.13325555555555557</v>
      </c>
      <c r="C5" s="78">
        <f>'Resume All'!F5</f>
        <v>52.66</v>
      </c>
      <c r="D5" s="78">
        <f>'Resume All'!G5</f>
        <v>4.6666666666666288</v>
      </c>
      <c r="E5" s="76">
        <f t="shared" si="0"/>
        <v>32.747108592592326</v>
      </c>
    </row>
    <row r="6" spans="1:5" ht="15" thickBot="1" x14ac:dyDescent="0.35">
      <c r="A6" s="75" t="s">
        <v>127</v>
      </c>
      <c r="B6" s="78">
        <f>'Resume All'!L3</f>
        <v>0.11068910256410255</v>
      </c>
      <c r="C6" s="78">
        <f>'Resume All'!N3</f>
        <v>49.745000000000005</v>
      </c>
      <c r="D6" s="78">
        <f>'Resume All'!O3</f>
        <v>2.3333333333333712</v>
      </c>
      <c r="E6" s="76">
        <f t="shared" si="0"/>
        <v>12.847868616453201</v>
      </c>
    </row>
    <row r="7" spans="1:5" ht="15" thickBot="1" x14ac:dyDescent="0.35">
      <c r="A7" s="75" t="s">
        <v>131</v>
      </c>
      <c r="B7" s="78">
        <f>'Resume All'!L4</f>
        <v>8.0378787878787869E-2</v>
      </c>
      <c r="C7" s="78">
        <f>'Resume All'!N4</f>
        <v>54.875</v>
      </c>
      <c r="D7" s="78">
        <f>'Resume All'!O4</f>
        <v>1.6666666666666856</v>
      </c>
      <c r="E7" s="76">
        <f t="shared" si="0"/>
        <v>7.351309974747557</v>
      </c>
    </row>
    <row r="8" spans="1:5" ht="15" thickBot="1" x14ac:dyDescent="0.35">
      <c r="A8" s="77" t="s">
        <v>141</v>
      </c>
      <c r="B8" s="78">
        <f>'Resume All'!L5</f>
        <v>9.3457284515636924E-2</v>
      </c>
      <c r="C8" s="78">
        <f>'Resume All'!N5</f>
        <v>53.644999999999996</v>
      </c>
      <c r="D8" s="78">
        <f>'Resume All'!O5</f>
        <v>1.5</v>
      </c>
      <c r="E8" s="76">
        <f t="shared" si="0"/>
        <v>7.5202740417620149</v>
      </c>
    </row>
  </sheetData>
  <mergeCells count="5"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5"/>
  <sheetViews>
    <sheetView workbookViewId="0">
      <selection activeCell="O24" sqref="O24"/>
    </sheetView>
  </sheetViews>
  <sheetFormatPr defaultRowHeight="14.4" x14ac:dyDescent="0.3"/>
  <cols>
    <col min="1" max="1" width="4" bestFit="1" customWidth="1"/>
    <col min="3" max="3" width="11.6640625" customWidth="1"/>
    <col min="4" max="4" width="10.6640625" customWidth="1"/>
    <col min="5" max="5" width="16.88671875" customWidth="1"/>
    <col min="6" max="6" width="10.5546875" customWidth="1"/>
    <col min="7" max="8" width="9" customWidth="1"/>
    <col min="9" max="9" width="7.5546875" bestFit="1" customWidth="1"/>
    <col min="10" max="10" width="9.6640625" bestFit="1" customWidth="1"/>
  </cols>
  <sheetData>
    <row r="1" spans="1:34" s="28" customFormat="1" ht="41.25" customHeight="1" x14ac:dyDescent="0.3">
      <c r="A1" s="45" t="s">
        <v>55</v>
      </c>
      <c r="B1" s="45" t="s">
        <v>56</v>
      </c>
      <c r="C1" s="45" t="s">
        <v>125</v>
      </c>
      <c r="D1" s="45" t="s">
        <v>149</v>
      </c>
      <c r="E1" s="45" t="s">
        <v>150</v>
      </c>
      <c r="F1" s="45" t="s">
        <v>151</v>
      </c>
      <c r="G1" s="45" t="s">
        <v>152</v>
      </c>
      <c r="H1" s="45" t="s">
        <v>153</v>
      </c>
      <c r="I1" s="45" t="s">
        <v>154</v>
      </c>
      <c r="J1" s="45" t="s">
        <v>155</v>
      </c>
      <c r="K1" s="45" t="s">
        <v>156</v>
      </c>
      <c r="L1" s="45" t="s">
        <v>157</v>
      </c>
      <c r="M1" s="45" t="s">
        <v>200</v>
      </c>
      <c r="O1" s="28" t="s">
        <v>164</v>
      </c>
      <c r="R1" s="28" t="s">
        <v>182</v>
      </c>
      <c r="S1" s="62">
        <v>2.2000000000000002</v>
      </c>
      <c r="U1" s="28" t="s">
        <v>192</v>
      </c>
      <c r="X1" s="28" t="s">
        <v>164</v>
      </c>
      <c r="AB1" s="28" t="s">
        <v>182</v>
      </c>
      <c r="AC1" s="62">
        <v>2.2000000000000002</v>
      </c>
      <c r="AF1" s="28" t="s">
        <v>192</v>
      </c>
    </row>
    <row r="2" spans="1:34" x14ac:dyDescent="0.3">
      <c r="A2" s="10">
        <v>1</v>
      </c>
      <c r="B2" s="10" t="s">
        <v>140</v>
      </c>
      <c r="C2" s="19" t="s">
        <v>130</v>
      </c>
      <c r="D2" s="10">
        <v>1.65</v>
      </c>
      <c r="E2" s="10">
        <v>88.48</v>
      </c>
      <c r="F2" s="10">
        <v>18.739999999999998</v>
      </c>
      <c r="G2" s="10">
        <v>120</v>
      </c>
      <c r="H2" s="10">
        <f>E2-D2</f>
        <v>86.83</v>
      </c>
      <c r="I2" s="10">
        <f>F2-D2</f>
        <v>17.09</v>
      </c>
      <c r="J2" s="15">
        <f>I2/G2</f>
        <v>0.14241666666666666</v>
      </c>
      <c r="K2" s="15">
        <f>(H2-I2)/I2*100</f>
        <v>408.0748976009362</v>
      </c>
      <c r="L2" s="15">
        <f>J2*K2</f>
        <v>58.11666666666666</v>
      </c>
      <c r="M2" s="45">
        <v>50.85</v>
      </c>
    </row>
    <row r="3" spans="1:34" x14ac:dyDescent="0.3">
      <c r="A3" s="10">
        <v>2</v>
      </c>
      <c r="B3" s="10"/>
      <c r="C3" s="19" t="s">
        <v>133</v>
      </c>
      <c r="D3" s="10">
        <v>1.88</v>
      </c>
      <c r="E3" s="10">
        <v>95.14</v>
      </c>
      <c r="F3" s="10">
        <v>11.82</v>
      </c>
      <c r="G3" s="10">
        <v>110</v>
      </c>
      <c r="H3" s="10">
        <f>E3-D3</f>
        <v>93.26</v>
      </c>
      <c r="I3" s="10">
        <f>F3-D3</f>
        <v>9.9400000000000013</v>
      </c>
      <c r="J3" s="15">
        <f>I3/G3</f>
        <v>9.0363636363636382E-2</v>
      </c>
      <c r="K3" s="15">
        <f>(H3-I3)/I3*100</f>
        <v>838.22937625754525</v>
      </c>
      <c r="L3" s="15">
        <f>J3*K3</f>
        <v>75.745454545454564</v>
      </c>
      <c r="M3" s="74">
        <v>52.45</v>
      </c>
      <c r="O3" s="54"/>
      <c r="P3" s="54" t="str">
        <f>J1</f>
        <v>BI (g/cm3)</v>
      </c>
      <c r="S3" s="56" t="str">
        <f>J1</f>
        <v>BI (g/cm3)</v>
      </c>
      <c r="U3" s="54"/>
      <c r="V3" s="54" t="str">
        <f>J1</f>
        <v>BI (g/cm3)</v>
      </c>
      <c r="X3" s="54"/>
      <c r="Y3" s="54" t="str">
        <f>K1</f>
        <v>KA Grav (%)</v>
      </c>
      <c r="Z3" s="54" t="str">
        <f>L1</f>
        <v>KA Vol (%)</v>
      </c>
      <c r="AC3" s="56" t="str">
        <f>K1</f>
        <v>KA Grav (%)</v>
      </c>
      <c r="AD3" s="56" t="str">
        <f>L1</f>
        <v>KA Vol (%)</v>
      </c>
      <c r="AF3" s="54"/>
      <c r="AG3" s="54" t="str">
        <f>K1</f>
        <v>KA Grav (%)</v>
      </c>
      <c r="AH3" s="54" t="str">
        <f>L1</f>
        <v>KA Vol (%)</v>
      </c>
    </row>
    <row r="4" spans="1:34" x14ac:dyDescent="0.3">
      <c r="A4" s="117" t="s">
        <v>160</v>
      </c>
      <c r="B4" s="118"/>
      <c r="C4" s="118"/>
      <c r="D4" s="118"/>
      <c r="E4" s="118"/>
      <c r="F4" s="118"/>
      <c r="G4" s="118"/>
      <c r="H4" s="118"/>
      <c r="I4" s="119"/>
      <c r="J4" s="15">
        <f>AVERAGE(J2:J3)</f>
        <v>0.11639015151515153</v>
      </c>
      <c r="K4" s="15">
        <f>AVERAGE(K2:K3)</f>
        <v>623.15213692924067</v>
      </c>
      <c r="L4" s="15">
        <f>AVERAGE(L2:L3)</f>
        <v>66.931060606060612</v>
      </c>
      <c r="M4" s="15">
        <f>AVERAGE(M2:M3)</f>
        <v>51.650000000000006</v>
      </c>
      <c r="O4" t="s">
        <v>100</v>
      </c>
      <c r="P4" s="49">
        <f>AVERAGE(J2:J25)</f>
        <v>8.6118996431948328E-2</v>
      </c>
      <c r="R4" t="s">
        <v>185</v>
      </c>
      <c r="S4" s="57">
        <f>S11-$S18</f>
        <v>8.2810060818957944E-3</v>
      </c>
      <c r="U4" t="s">
        <v>193</v>
      </c>
      <c r="V4">
        <f>[2]!SHAPIRO(J2:J25)</f>
        <v>0.86803229331958276</v>
      </c>
      <c r="X4" t="s">
        <v>100</v>
      </c>
      <c r="Y4" s="49">
        <f>AVERAGE(K2:K25)</f>
        <v>599.35801807837709</v>
      </c>
      <c r="Z4" s="49">
        <f>AVERAGE(L2:L25)</f>
        <v>60.835201194847542</v>
      </c>
      <c r="AB4" t="s">
        <v>185</v>
      </c>
      <c r="AC4" s="65">
        <f>AC11-$AC18</f>
        <v>17.76669763172405</v>
      </c>
      <c r="AD4" s="66">
        <f>AD11-$AC18</f>
        <v>5.1119840890970651E-2</v>
      </c>
      <c r="AF4" t="s">
        <v>193</v>
      </c>
      <c r="AG4">
        <f>[2]!SHAPIRO(K2:K25)</f>
        <v>0.94964917427513862</v>
      </c>
      <c r="AH4">
        <f>[2]!SHAPIRO(L2:L25)</f>
        <v>0.78419220453273419</v>
      </c>
    </row>
    <row r="5" spans="1:34" x14ac:dyDescent="0.3">
      <c r="A5" s="117" t="s">
        <v>161</v>
      </c>
      <c r="B5" s="118"/>
      <c r="C5" s="118"/>
      <c r="D5" s="118"/>
      <c r="E5" s="118"/>
      <c r="F5" s="118"/>
      <c r="G5" s="118"/>
      <c r="H5" s="118"/>
      <c r="I5" s="119"/>
      <c r="J5" s="15">
        <f>STDEV(J2:J3)</f>
        <v>3.6807050708581562E-2</v>
      </c>
      <c r="K5" s="15">
        <f>STDEV(K2:K3)</f>
        <v>304.16514881585266</v>
      </c>
      <c r="L5" s="15">
        <f>STDEV(L2:L3)</f>
        <v>12.465435453190162</v>
      </c>
      <c r="M5" s="15">
        <f>STDEV(M2:M3)</f>
        <v>1.1313708498984771</v>
      </c>
      <c r="O5" t="s">
        <v>165</v>
      </c>
      <c r="P5">
        <f>_xlfn.STDEV.S(J2:J25)/SQRT(COUNT(J2:J25))</f>
        <v>9.3007353091204056E-3</v>
      </c>
      <c r="R5" t="s">
        <v>187</v>
      </c>
      <c r="S5" s="58">
        <f>MAX(S12-S11,0)</f>
        <v>5.3488938413431407E-2</v>
      </c>
      <c r="U5" t="s">
        <v>194</v>
      </c>
      <c r="V5">
        <f>[2]!SWTEST(J2:J25)</f>
        <v>4.8150128843903461E-3</v>
      </c>
      <c r="X5" t="s">
        <v>165</v>
      </c>
      <c r="Y5">
        <f>_xlfn.STDEV.S(K2:K25)/SQRT(COUNT(K2:K25))</f>
        <v>67.694490042402947</v>
      </c>
      <c r="Z5">
        <f>_xlfn.STDEV.S(L2:L25)/SQRT(COUNT(L2:L25))</f>
        <v>6.5707954634270589</v>
      </c>
      <c r="AB5" t="s">
        <v>187</v>
      </c>
      <c r="AC5" s="67">
        <f>MAX(AC12-AC11,0)</f>
        <v>364.33076277294123</v>
      </c>
      <c r="AD5" s="68">
        <f>MAX(AD12-AD11,0)</f>
        <v>45.468121998745779</v>
      </c>
      <c r="AF5" t="s">
        <v>194</v>
      </c>
      <c r="AG5">
        <f>[2]!SWTEST(K2:K25)</f>
        <v>0.26624584958685782</v>
      </c>
      <c r="AH5">
        <f>[2]!SWTEST(L2:L25)</f>
        <v>1.642854733022725E-4</v>
      </c>
    </row>
    <row r="6" spans="1:34" x14ac:dyDescent="0.3">
      <c r="A6" s="10">
        <v>5</v>
      </c>
      <c r="B6" s="10" t="s">
        <v>137</v>
      </c>
      <c r="C6" s="47" t="s">
        <v>158</v>
      </c>
      <c r="D6" s="10">
        <v>0.92</v>
      </c>
      <c r="E6" s="10">
        <v>88.76</v>
      </c>
      <c r="F6" s="10">
        <v>13.69</v>
      </c>
      <c r="G6" s="10">
        <v>110</v>
      </c>
      <c r="H6" s="10">
        <f>E6-D6</f>
        <v>87.84</v>
      </c>
      <c r="I6" s="10">
        <f>F6-D6</f>
        <v>12.77</v>
      </c>
      <c r="J6" s="15">
        <f>I6/G6</f>
        <v>0.11609090909090909</v>
      </c>
      <c r="K6" s="15">
        <f>(H6-I6)/I6*100</f>
        <v>587.86217697729057</v>
      </c>
      <c r="L6" s="15">
        <f>J6*K6</f>
        <v>68.24545454545455</v>
      </c>
      <c r="M6" s="74">
        <v>50.7</v>
      </c>
      <c r="O6" t="s">
        <v>166</v>
      </c>
      <c r="P6" s="49">
        <f>MEDIAN(J2:J25)</f>
        <v>9.5959411488587693E-2</v>
      </c>
      <c r="R6" t="s">
        <v>188</v>
      </c>
      <c r="S6" s="58">
        <f t="shared" ref="S6:S8" si="0">MAX(S13-S12,0)</f>
        <v>3.4189466993260489E-2</v>
      </c>
      <c r="U6" t="s">
        <v>195</v>
      </c>
      <c r="V6">
        <v>0.05</v>
      </c>
      <c r="X6" t="s">
        <v>166</v>
      </c>
      <c r="Y6" s="49">
        <f>MEDIAN(K2:K25)</f>
        <v>626.56981920175826</v>
      </c>
      <c r="Z6" s="49">
        <f>MEDIAN(L2:L25)</f>
        <v>76.7082288401254</v>
      </c>
      <c r="AB6" t="s">
        <v>188</v>
      </c>
      <c r="AC6" s="67">
        <f t="shared" ref="AC6:AD8" si="1">MAX(AC13-AC12,0)</f>
        <v>244.47235879709297</v>
      </c>
      <c r="AD6" s="68">
        <f t="shared" si="1"/>
        <v>31.188987000488652</v>
      </c>
      <c r="AF6" t="s">
        <v>195</v>
      </c>
      <c r="AG6">
        <v>0.05</v>
      </c>
      <c r="AH6">
        <v>0.05</v>
      </c>
    </row>
    <row r="7" spans="1:34" x14ac:dyDescent="0.3">
      <c r="A7" s="10">
        <v>6</v>
      </c>
      <c r="B7" s="10"/>
      <c r="C7" s="19" t="s">
        <v>138</v>
      </c>
      <c r="D7" s="10">
        <v>1.3399999999999999</v>
      </c>
      <c r="E7" s="10">
        <v>146.41999999999999</v>
      </c>
      <c r="F7" s="10">
        <v>20.13</v>
      </c>
      <c r="G7" s="10">
        <v>145</v>
      </c>
      <c r="H7" s="10">
        <f>E7-D7</f>
        <v>145.07999999999998</v>
      </c>
      <c r="I7" s="10">
        <f>F7-D7</f>
        <v>18.79</v>
      </c>
      <c r="J7" s="15">
        <f>I7/G7</f>
        <v>0.12958620689655173</v>
      </c>
      <c r="K7" s="15">
        <f>(H7-I7)/I7*100</f>
        <v>672.11282597126137</v>
      </c>
      <c r="L7" s="15">
        <f>J7*K7</f>
        <v>87.096551724137939</v>
      </c>
      <c r="M7" s="74">
        <v>51.53</v>
      </c>
      <c r="O7" t="s">
        <v>167</v>
      </c>
      <c r="P7" t="e">
        <f>MODE(J2:J25)</f>
        <v>#N/A</v>
      </c>
      <c r="R7" t="s">
        <v>189</v>
      </c>
      <c r="S7" s="58">
        <f t="shared" si="0"/>
        <v>2.6898673673376783E-2</v>
      </c>
      <c r="U7" s="53" t="s">
        <v>196</v>
      </c>
      <c r="V7" s="59" t="str">
        <f>IF(V5&lt;V6,"no","yes")</f>
        <v>no</v>
      </c>
      <c r="X7" t="s">
        <v>167</v>
      </c>
      <c r="Y7" t="e">
        <f>MODE(K2:K25)</f>
        <v>#N/A</v>
      </c>
      <c r="Z7" t="e">
        <f>MODE(L2:L25)</f>
        <v>#N/A</v>
      </c>
      <c r="AB7" t="s">
        <v>189</v>
      </c>
      <c r="AC7" s="67">
        <f t="shared" si="1"/>
        <v>263.07156078773744</v>
      </c>
      <c r="AD7" s="68">
        <f t="shared" si="1"/>
        <v>7.3598267154301595</v>
      </c>
      <c r="AF7" s="53" t="s">
        <v>196</v>
      </c>
      <c r="AG7" s="59" t="str">
        <f>IF(AG5&lt;AG6,"no","yes")</f>
        <v>yes</v>
      </c>
      <c r="AH7" s="59" t="str">
        <f>IF(AH5&lt;AH6,"no","yes")</f>
        <v>no</v>
      </c>
    </row>
    <row r="8" spans="1:34" x14ac:dyDescent="0.3">
      <c r="A8" s="117" t="s">
        <v>160</v>
      </c>
      <c r="B8" s="118"/>
      <c r="C8" s="118"/>
      <c r="D8" s="118"/>
      <c r="E8" s="118"/>
      <c r="F8" s="118"/>
      <c r="G8" s="118"/>
      <c r="H8" s="118"/>
      <c r="I8" s="119"/>
      <c r="J8" s="15">
        <f>AVERAGE(J6:J7)</f>
        <v>0.12283855799373042</v>
      </c>
      <c r="K8" s="15">
        <f>AVERAGE(K6:K7)</f>
        <v>629.98750147427597</v>
      </c>
      <c r="L8" s="15">
        <f>AVERAGE(L6:L7)</f>
        <v>77.671003134796251</v>
      </c>
      <c r="M8" s="15">
        <f>AVERAGE(M6:M7)</f>
        <v>51.115000000000002</v>
      </c>
      <c r="O8" t="s">
        <v>168</v>
      </c>
      <c r="P8">
        <f>_xlfn.STDEV.S(J2:J25)</f>
        <v>4.5564111480063528E-2</v>
      </c>
      <c r="R8" t="s">
        <v>190</v>
      </c>
      <c r="S8" s="58">
        <f t="shared" si="0"/>
        <v>1.9558581504702188E-2</v>
      </c>
      <c r="X8" t="s">
        <v>168</v>
      </c>
      <c r="Y8">
        <f>_xlfn.STDEV.S(K2:K25)</f>
        <v>331.63391800360796</v>
      </c>
      <c r="Z8">
        <f>_xlfn.STDEV.S(L2:L25)</f>
        <v>32.190192179181636</v>
      </c>
      <c r="AB8" t="s">
        <v>190</v>
      </c>
      <c r="AC8" s="67">
        <f t="shared" si="1"/>
        <v>267.16795853190513</v>
      </c>
      <c r="AD8" s="68">
        <f t="shared" si="1"/>
        <v>8.3087560386473314</v>
      </c>
    </row>
    <row r="9" spans="1:34" x14ac:dyDescent="0.3">
      <c r="A9" s="117" t="s">
        <v>161</v>
      </c>
      <c r="B9" s="118"/>
      <c r="C9" s="118"/>
      <c r="D9" s="118"/>
      <c r="E9" s="118"/>
      <c r="F9" s="118"/>
      <c r="G9" s="118"/>
      <c r="H9" s="118"/>
      <c r="I9" s="119"/>
      <c r="J9" s="15">
        <f>STDEV(J6:J7)</f>
        <v>9.5426165925018448E-3</v>
      </c>
      <c r="K9" s="15">
        <f>STDEV(K6:K7)</f>
        <v>59.574205223004327</v>
      </c>
      <c r="L9" s="15">
        <f>STDEV(L6:L7)</f>
        <v>13.329738647853549</v>
      </c>
      <c r="M9" s="15">
        <f>STDEV(M6:M7)</f>
        <v>0.5868986283848332</v>
      </c>
      <c r="O9" t="s">
        <v>169</v>
      </c>
      <c r="P9">
        <f>_xlfn.VAR.S(J2:J25)</f>
        <v>2.076088254967657E-3</v>
      </c>
      <c r="R9" t="s">
        <v>100</v>
      </c>
      <c r="S9" s="64">
        <f>S16-$S18</f>
        <v>8.6118996431948328E-2</v>
      </c>
      <c r="U9" t="s">
        <v>197</v>
      </c>
      <c r="X9" t="s">
        <v>169</v>
      </c>
      <c r="Y9">
        <f>_xlfn.VAR.S(K2:K25)</f>
        <v>109981.05557042376</v>
      </c>
      <c r="Z9">
        <f>_xlfn.VAR.S(L2:L25)</f>
        <v>1036.2084725326465</v>
      </c>
      <c r="AB9" t="s">
        <v>100</v>
      </c>
      <c r="AC9" s="71">
        <f>AC16-$AC18</f>
        <v>599.35801807837709</v>
      </c>
      <c r="AD9" s="72">
        <f>AD16-$AC18</f>
        <v>60.835201194847542</v>
      </c>
      <c r="AF9" t="s">
        <v>197</v>
      </c>
    </row>
    <row r="10" spans="1:34" x14ac:dyDescent="0.3">
      <c r="A10" s="10">
        <v>9</v>
      </c>
      <c r="B10" s="10" t="s">
        <v>132</v>
      </c>
      <c r="C10" s="10" t="s">
        <v>130</v>
      </c>
      <c r="D10" s="10">
        <v>1.51</v>
      </c>
      <c r="E10" s="10">
        <v>68.040000000000006</v>
      </c>
      <c r="F10" s="10">
        <v>14.25</v>
      </c>
      <c r="G10" s="10">
        <v>100</v>
      </c>
      <c r="H10" s="10">
        <f t="shared" ref="H10:H11" si="2">E10-D10</f>
        <v>66.53</v>
      </c>
      <c r="I10" s="10">
        <f>F10-D10</f>
        <v>12.74</v>
      </c>
      <c r="J10" s="15">
        <f t="shared" ref="J10:J11" si="3">I10/G10</f>
        <v>0.12740000000000001</v>
      </c>
      <c r="K10" s="15">
        <f t="shared" ref="K10:K11" si="4">(H10-I10)/I10*100</f>
        <v>422.21350078492935</v>
      </c>
      <c r="L10" s="15">
        <f t="shared" ref="L10:L11" si="5">J10*K10</f>
        <v>53.790000000000006</v>
      </c>
      <c r="M10" s="74">
        <v>51.7</v>
      </c>
      <c r="O10" t="s">
        <v>170</v>
      </c>
      <c r="P10">
        <f>KURT(J2:J25)</f>
        <v>-0.87332677950416437</v>
      </c>
      <c r="X10" t="s">
        <v>170</v>
      </c>
      <c r="Y10">
        <f>KURT(K2:K25)</f>
        <v>-0.97632551915866905</v>
      </c>
      <c r="Z10">
        <f>KURT(L2:L25)</f>
        <v>-0.64226245083162015</v>
      </c>
    </row>
    <row r="11" spans="1:34" x14ac:dyDescent="0.3">
      <c r="A11" s="10">
        <v>10</v>
      </c>
      <c r="B11" s="10"/>
      <c r="C11" s="10" t="s">
        <v>135</v>
      </c>
      <c r="D11" s="10">
        <v>0.95000000000000007</v>
      </c>
      <c r="E11" s="10">
        <v>131.88</v>
      </c>
      <c r="F11" s="10">
        <v>19.73</v>
      </c>
      <c r="G11" s="10">
        <v>135</v>
      </c>
      <c r="H11" s="10">
        <f t="shared" si="2"/>
        <v>130.93</v>
      </c>
      <c r="I11" s="10">
        <f t="shared" ref="I11" si="6">F11-D11</f>
        <v>18.78</v>
      </c>
      <c r="J11" s="15">
        <f t="shared" si="3"/>
        <v>0.13911111111111113</v>
      </c>
      <c r="K11" s="15">
        <f t="shared" si="4"/>
        <v>597.17784877529289</v>
      </c>
      <c r="L11" s="15">
        <f t="shared" si="5"/>
        <v>83.07407407407409</v>
      </c>
      <c r="M11" s="74">
        <v>53.62</v>
      </c>
      <c r="O11" t="s">
        <v>171</v>
      </c>
      <c r="P11">
        <f>SKEW(J2:J25)</f>
        <v>-0.71771333506219626</v>
      </c>
      <c r="R11" t="s">
        <v>185</v>
      </c>
      <c r="S11" s="57">
        <f t="array" ref="S11">MIN(IF(ISBLANK(J2:J25),"",IF(J2:J25&gt;=S12-$S1*(S14-S12),J2:J25,"")))</f>
        <v>8.2810060818957944E-3</v>
      </c>
      <c r="U11" s="60" t="s">
        <v>198</v>
      </c>
      <c r="V11" s="60">
        <f>[2]!DAGOSTINO(J2:J25)</f>
        <v>3.6927309703183537</v>
      </c>
      <c r="X11" t="s">
        <v>171</v>
      </c>
      <c r="Y11">
        <f>SKEW(K2:K25)</f>
        <v>-0.31029790343968838</v>
      </c>
      <c r="Z11">
        <f>SKEW(L2:L25)</f>
        <v>-1.0076668282708512</v>
      </c>
      <c r="AB11" t="s">
        <v>185</v>
      </c>
      <c r="AC11" s="65">
        <f t="array" ref="AC11">MIN(IF(ISBLANK(K2:K25),"",IF(K2:K25&gt;=AC12-$AC1*(AC14-AC12),K2:K25,"")))</f>
        <v>17.76669763172405</v>
      </c>
      <c r="AD11" s="66">
        <f t="array" ref="AD11">MIN(IF(ISBLANK(L2:L25),"",IF(L2:L25&gt;=AD12-$AC1*(AD14-AD12),L2:L25,"")))</f>
        <v>5.1119840890970651E-2</v>
      </c>
      <c r="AF11" s="73" t="s">
        <v>198</v>
      </c>
      <c r="AG11" s="73">
        <f>[2]!DAGOSTINO(K2:K25)</f>
        <v>2.3778198741202234</v>
      </c>
      <c r="AH11" s="73">
        <f>[2]!DAGOSTINO(L2:L25)</f>
        <v>4.8234823210891511</v>
      </c>
    </row>
    <row r="12" spans="1:34" x14ac:dyDescent="0.3">
      <c r="A12" s="117" t="s">
        <v>160</v>
      </c>
      <c r="B12" s="118"/>
      <c r="C12" s="118"/>
      <c r="D12" s="118"/>
      <c r="E12" s="118"/>
      <c r="F12" s="118"/>
      <c r="G12" s="118"/>
      <c r="H12" s="118"/>
      <c r="I12" s="119"/>
      <c r="J12" s="15">
        <f>AVERAGE(J10:J11)</f>
        <v>0.13325555555555557</v>
      </c>
      <c r="K12" s="15">
        <f>AVERAGE(K10:K11)</f>
        <v>509.69567478011112</v>
      </c>
      <c r="L12" s="15">
        <f>AVERAGE(L10:L11)</f>
        <v>68.432037037037048</v>
      </c>
      <c r="M12" s="15">
        <f>AVERAGE(M10:M11)</f>
        <v>52.66</v>
      </c>
      <c r="O12" t="s">
        <v>172</v>
      </c>
      <c r="P12">
        <f>P13-P14</f>
        <v>0.13413566058477086</v>
      </c>
      <c r="R12" t="s">
        <v>136</v>
      </c>
      <c r="S12" s="58">
        <f>_xlfn.QUARTILE.INC(J2:J25,1)</f>
        <v>6.1769944495327203E-2</v>
      </c>
      <c r="U12" t="s">
        <v>194</v>
      </c>
      <c r="V12">
        <f>[2]!DPTEST(J2:J25)</f>
        <v>0.15780968691519981</v>
      </c>
      <c r="X12" t="s">
        <v>172</v>
      </c>
      <c r="Y12">
        <f>Y13-Y14</f>
        <v>1139.0426408896767</v>
      </c>
      <c r="Z12">
        <f>Z13-Z14</f>
        <v>92.325691753311915</v>
      </c>
      <c r="AB12" t="s">
        <v>136</v>
      </c>
      <c r="AC12" s="67">
        <f>_xlfn.QUARTILE.INC(K2:K25,1)</f>
        <v>382.0974604046653</v>
      </c>
      <c r="AD12" s="68">
        <f>_xlfn.QUARTILE.INC(L2:L25,1)</f>
        <v>45.519241839636749</v>
      </c>
      <c r="AF12" t="s">
        <v>194</v>
      </c>
      <c r="AG12">
        <f>[2]!DPTEST(K2:K25)</f>
        <v>0.30455306520139436</v>
      </c>
      <c r="AH12">
        <f>[2]!DPTEST(L2:L25)</f>
        <v>8.9659047789878987E-2</v>
      </c>
    </row>
    <row r="13" spans="1:34" x14ac:dyDescent="0.3">
      <c r="A13" s="117" t="s">
        <v>161</v>
      </c>
      <c r="B13" s="118"/>
      <c r="C13" s="118"/>
      <c r="D13" s="118"/>
      <c r="E13" s="118"/>
      <c r="F13" s="118"/>
      <c r="G13" s="118"/>
      <c r="H13" s="118"/>
      <c r="I13" s="119"/>
      <c r="J13" s="15">
        <f>STDEV(J10:J11)</f>
        <v>8.2810060818957944E-3</v>
      </c>
      <c r="K13" s="15">
        <f>STDEV(K10:K11)</f>
        <v>123.71847692986887</v>
      </c>
      <c r="L13" s="15">
        <f>STDEV(L10:L11)</f>
        <v>20.706967358546979</v>
      </c>
      <c r="M13" s="15">
        <f>STDEV(M10:M11)</f>
        <v>1.3576450198781675</v>
      </c>
      <c r="O13" t="s">
        <v>173</v>
      </c>
      <c r="P13" s="49">
        <f>MAX(J2:J25)</f>
        <v>0.14241666666666666</v>
      </c>
      <c r="R13" t="s">
        <v>166</v>
      </c>
      <c r="S13" s="63">
        <f>MEDIAN(J2:J25)</f>
        <v>9.5959411488587693E-2</v>
      </c>
      <c r="U13" t="s">
        <v>195</v>
      </c>
      <c r="V13">
        <v>0.05</v>
      </c>
      <c r="X13" t="s">
        <v>173</v>
      </c>
      <c r="Y13" s="49">
        <f>MAX(K2:K25)</f>
        <v>1156.8093385214008</v>
      </c>
      <c r="Z13" s="49">
        <f>MAX(L2:L25)</f>
        <v>92.376811594202891</v>
      </c>
      <c r="AB13" t="s">
        <v>166</v>
      </c>
      <c r="AC13" s="69">
        <f>MEDIAN(K2:K25)</f>
        <v>626.56981920175826</v>
      </c>
      <c r="AD13" s="70">
        <f>MEDIAN(L2:L25)</f>
        <v>76.7082288401254</v>
      </c>
      <c r="AF13" t="s">
        <v>195</v>
      </c>
      <c r="AG13">
        <v>0.05</v>
      </c>
      <c r="AH13">
        <v>0.05</v>
      </c>
    </row>
    <row r="14" spans="1:34" x14ac:dyDescent="0.3">
      <c r="A14" s="10">
        <v>13</v>
      </c>
      <c r="B14" s="10" t="s">
        <v>127</v>
      </c>
      <c r="C14" s="46" t="s">
        <v>139</v>
      </c>
      <c r="D14" s="10">
        <v>1.8299999999999998</v>
      </c>
      <c r="E14" s="10">
        <v>128.34</v>
      </c>
      <c r="F14" s="10">
        <v>14.63</v>
      </c>
      <c r="G14" s="10">
        <v>130</v>
      </c>
      <c r="H14" s="10">
        <f>E14-D14</f>
        <v>126.51</v>
      </c>
      <c r="I14" s="10">
        <f>F14-D14</f>
        <v>12.8</v>
      </c>
      <c r="J14" s="15">
        <f>I14/G14</f>
        <v>9.8461538461538461E-2</v>
      </c>
      <c r="K14" s="15">
        <f>(H14-I14)/I14*100</f>
        <v>888.35937499999989</v>
      </c>
      <c r="L14" s="15">
        <f>J14*K14</f>
        <v>87.469230769230762</v>
      </c>
      <c r="M14" s="74">
        <v>48.85</v>
      </c>
      <c r="O14" t="s">
        <v>174</v>
      </c>
      <c r="P14" s="49">
        <f>MIN(J2:J25)</f>
        <v>8.2810060818957944E-3</v>
      </c>
      <c r="R14" t="s">
        <v>134</v>
      </c>
      <c r="S14" s="58">
        <f>_xlfn.QUARTILE.INC(J2:J25,3)</f>
        <v>0.12285808516196448</v>
      </c>
      <c r="U14" s="53" t="s">
        <v>196</v>
      </c>
      <c r="V14" s="59" t="str">
        <f>IF(V12&lt;V13,"no","yes")</f>
        <v>yes</v>
      </c>
      <c r="X14" t="s">
        <v>174</v>
      </c>
      <c r="Y14" s="49">
        <f>MIN(K2:K25)</f>
        <v>17.76669763172405</v>
      </c>
      <c r="Z14" s="49">
        <f>MIN(L2:L25)</f>
        <v>5.1119840890970651E-2</v>
      </c>
      <c r="AB14" t="s">
        <v>134</v>
      </c>
      <c r="AC14" s="67">
        <f>_xlfn.QUARTILE.INC(K2:K25,3)</f>
        <v>889.6413799894957</v>
      </c>
      <c r="AD14" s="68">
        <f>_xlfn.QUARTILE.INC(L2:L25,3)</f>
        <v>84.06805555555556</v>
      </c>
      <c r="AF14" s="53" t="s">
        <v>196</v>
      </c>
      <c r="AG14" s="59" t="str">
        <f>IF(AG12&lt;AG13,"no","yes")</f>
        <v>yes</v>
      </c>
      <c r="AH14" s="59" t="str">
        <f>IF(AH12&lt;AH13,"no","yes")</f>
        <v>yes</v>
      </c>
    </row>
    <row r="15" spans="1:34" x14ac:dyDescent="0.3">
      <c r="A15" s="10">
        <v>14</v>
      </c>
      <c r="B15" s="10"/>
      <c r="C15" s="10" t="s">
        <v>128</v>
      </c>
      <c r="D15" s="10">
        <v>1.21</v>
      </c>
      <c r="E15" s="10">
        <v>120.42</v>
      </c>
      <c r="F15" s="10">
        <v>15.96</v>
      </c>
      <c r="G15" s="10">
        <v>120</v>
      </c>
      <c r="H15" s="10">
        <f>E15-D15</f>
        <v>119.21000000000001</v>
      </c>
      <c r="I15" s="10">
        <f>F15-D15</f>
        <v>14.75</v>
      </c>
      <c r="J15" s="15">
        <f>I15/G15</f>
        <v>0.12291666666666666</v>
      </c>
      <c r="K15" s="15">
        <f>(H15-I15)/I15*100</f>
        <v>708.20338983050851</v>
      </c>
      <c r="L15" s="15">
        <f>J15*K15</f>
        <v>87.05</v>
      </c>
      <c r="M15" s="74">
        <v>50.64</v>
      </c>
      <c r="O15" t="s">
        <v>175</v>
      </c>
      <c r="P15" s="49">
        <f>SUM(J2:J25)</f>
        <v>2.06685591436676</v>
      </c>
      <c r="R15" t="s">
        <v>186</v>
      </c>
      <c r="S15" s="58">
        <f t="array" ref="S15">MAX(IF(ISBLANK(J2:J25),"",IF(J2:J25&lt;=S14+$S1*(S14-S12),J2:J25,"")))</f>
        <v>0.14241666666666666</v>
      </c>
      <c r="X15" t="s">
        <v>175</v>
      </c>
      <c r="Y15" s="49">
        <f>SUM(K2:K25)</f>
        <v>14384.592433881051</v>
      </c>
      <c r="Z15" s="49">
        <f>SUM(L2:L25)</f>
        <v>1460.044828676341</v>
      </c>
      <c r="AB15" t="s">
        <v>186</v>
      </c>
      <c r="AC15" s="67">
        <f t="array" ref="AC15">MAX(IF(ISBLANK(K2:K25),"",IF(K2:K25&lt;=AC14+$AC1*(AC14-AC12),K2:K25,"")))</f>
        <v>1156.8093385214008</v>
      </c>
      <c r="AD15" s="68">
        <f t="array" ref="AD15">MAX(IF(ISBLANK(L2:L25),"",IF(L2:L25&lt;=AD14+$AC1*(AD14-AD12),L2:L25,"")))</f>
        <v>92.376811594202891</v>
      </c>
    </row>
    <row r="16" spans="1:34" x14ac:dyDescent="0.3">
      <c r="A16" s="117" t="s">
        <v>160</v>
      </c>
      <c r="B16" s="118"/>
      <c r="C16" s="118"/>
      <c r="D16" s="118"/>
      <c r="E16" s="118"/>
      <c r="F16" s="118"/>
      <c r="G16" s="118"/>
      <c r="H16" s="118"/>
      <c r="I16" s="119"/>
      <c r="J16" s="15">
        <f>AVERAGE(J14:J15)</f>
        <v>0.11068910256410255</v>
      </c>
      <c r="K16" s="15">
        <f>AVERAGE(K14:K15)</f>
        <v>798.28138241525426</v>
      </c>
      <c r="L16" s="15">
        <f>AVERAGE(L14:L15)</f>
        <v>87.259615384615387</v>
      </c>
      <c r="M16" s="15">
        <f>AVERAGE(M14:M15)</f>
        <v>49.745000000000005</v>
      </c>
      <c r="O16" t="s">
        <v>176</v>
      </c>
      <c r="P16">
        <f>COUNT(J2:J25)</f>
        <v>24</v>
      </c>
      <c r="R16" t="s">
        <v>100</v>
      </c>
      <c r="S16" s="64">
        <f>AVERAGE(J2:J25)</f>
        <v>8.6118996431948328E-2</v>
      </c>
      <c r="X16" t="s">
        <v>176</v>
      </c>
      <c r="Y16">
        <f>COUNT(K2:K25)</f>
        <v>24</v>
      </c>
      <c r="Z16">
        <f>COUNT(L2:L25)</f>
        <v>24</v>
      </c>
      <c r="AB16" t="s">
        <v>100</v>
      </c>
      <c r="AC16" s="71">
        <f>AVERAGE(K2:K25)</f>
        <v>599.35801807837709</v>
      </c>
      <c r="AD16" s="72">
        <f>AVERAGE(L2:L25)</f>
        <v>60.835201194847542</v>
      </c>
    </row>
    <row r="17" spans="1:30" x14ac:dyDescent="0.3">
      <c r="A17" s="117" t="s">
        <v>161</v>
      </c>
      <c r="B17" s="118"/>
      <c r="C17" s="118"/>
      <c r="D17" s="118"/>
      <c r="E17" s="118"/>
      <c r="F17" s="118"/>
      <c r="G17" s="118"/>
      <c r="H17" s="118"/>
      <c r="I17" s="119"/>
      <c r="J17" s="15">
        <f>STDEV(J14:J15)</f>
        <v>1.7292386988632627E-2</v>
      </c>
      <c r="K17" s="15">
        <f>STDEV(K14:K15)</f>
        <v>127.38951878468986</v>
      </c>
      <c r="L17" s="15">
        <f>STDEV(L14:L15)</f>
        <v>0.2964409198051266</v>
      </c>
      <c r="M17" s="15">
        <f>STDEV(M14:M15)</f>
        <v>1.2657211383239195</v>
      </c>
      <c r="O17" t="s">
        <v>177</v>
      </c>
      <c r="P17">
        <f>GEOMEAN(J2:J25)</f>
        <v>6.4291615704593685E-2</v>
      </c>
      <c r="X17" t="s">
        <v>177</v>
      </c>
      <c r="Y17">
        <f>GEOMEAN(K2:K25)</f>
        <v>440.23064454106634</v>
      </c>
      <c r="Z17">
        <f>GEOMEAN(L2:L25)</f>
        <v>33.362467960452506</v>
      </c>
    </row>
    <row r="18" spans="1:30" x14ac:dyDescent="0.3">
      <c r="A18" s="10">
        <v>17</v>
      </c>
      <c r="B18" s="10" t="s">
        <v>131</v>
      </c>
      <c r="C18" s="10" t="s">
        <v>130</v>
      </c>
      <c r="D18" s="10">
        <v>1.68</v>
      </c>
      <c r="E18" s="10">
        <v>96.26</v>
      </c>
      <c r="F18" s="10">
        <v>11.2</v>
      </c>
      <c r="G18" s="10">
        <v>105</v>
      </c>
      <c r="H18" s="10">
        <f>E18-D18</f>
        <v>94.58</v>
      </c>
      <c r="I18" s="10">
        <f>F18-D18</f>
        <v>9.52</v>
      </c>
      <c r="J18" s="15">
        <f>I18/G18</f>
        <v>9.0666666666666659E-2</v>
      </c>
      <c r="K18" s="15">
        <f>(H18-I18)/I18*100</f>
        <v>893.48739495798327</v>
      </c>
      <c r="L18" s="15">
        <f>J18*K18</f>
        <v>81.009523809523813</v>
      </c>
      <c r="M18" s="74">
        <v>55.87</v>
      </c>
      <c r="O18" t="s">
        <v>178</v>
      </c>
      <c r="P18">
        <f>HARMEAN(J2:J25)</f>
        <v>3.6522011366613726E-2</v>
      </c>
      <c r="R18" t="s">
        <v>183</v>
      </c>
      <c r="S18" s="55">
        <f>IF(MIN(S11)&gt;=0,0,MIN(S11))</f>
        <v>0</v>
      </c>
      <c r="X18" t="s">
        <v>178</v>
      </c>
      <c r="Y18">
        <f>HARMEAN(K2:K25)</f>
        <v>194.09985110069454</v>
      </c>
      <c r="Z18">
        <f>HARMEAN(L2:L25)</f>
        <v>1.020618090425961</v>
      </c>
      <c r="AB18" t="s">
        <v>183</v>
      </c>
      <c r="AC18" s="55">
        <f>IF(MIN(AC11:AD11)&gt;=0,0,MIN(AC11:AD11))</f>
        <v>0</v>
      </c>
    </row>
    <row r="19" spans="1:30" x14ac:dyDescent="0.3">
      <c r="A19" s="10">
        <v>18</v>
      </c>
      <c r="B19" s="10"/>
      <c r="C19" s="10" t="s">
        <v>135</v>
      </c>
      <c r="D19" s="10">
        <v>1.98</v>
      </c>
      <c r="E19" s="10">
        <v>98.88</v>
      </c>
      <c r="F19" s="10">
        <v>9.69</v>
      </c>
      <c r="G19" s="10">
        <v>110</v>
      </c>
      <c r="H19" s="10">
        <f>E19-D19</f>
        <v>96.899999999999991</v>
      </c>
      <c r="I19" s="10">
        <f>F19-D19</f>
        <v>7.7099999999999991</v>
      </c>
      <c r="J19" s="15">
        <f>I19/G19</f>
        <v>7.0090909090909079E-2</v>
      </c>
      <c r="K19" s="15">
        <f>(H19-I19)/I19*100</f>
        <v>1156.8093385214008</v>
      </c>
      <c r="L19" s="15">
        <f>J19*K19</f>
        <v>81.081818181818178</v>
      </c>
      <c r="M19" s="74">
        <v>53.88</v>
      </c>
      <c r="O19" t="s">
        <v>179</v>
      </c>
      <c r="P19">
        <f>AVEDEV(J2:J25)</f>
        <v>3.6887890015668702E-2</v>
      </c>
      <c r="X19" t="s">
        <v>179</v>
      </c>
      <c r="Y19">
        <f>AVEDEV(K2:K25)</f>
        <v>270.75861005246128</v>
      </c>
      <c r="Z19">
        <f>AVEDEV(L2:L25)</f>
        <v>26.736024172841599</v>
      </c>
    </row>
    <row r="20" spans="1:30" x14ac:dyDescent="0.3">
      <c r="A20" s="117" t="s">
        <v>160</v>
      </c>
      <c r="B20" s="118"/>
      <c r="C20" s="118"/>
      <c r="D20" s="118"/>
      <c r="E20" s="118"/>
      <c r="F20" s="118"/>
      <c r="G20" s="118"/>
      <c r="H20" s="118"/>
      <c r="I20" s="119"/>
      <c r="J20" s="15">
        <f>AVERAGE(J18:J19)</f>
        <v>8.0378787878787869E-2</v>
      </c>
      <c r="K20" s="15">
        <f>AVERAGE(K18:K19)</f>
        <v>1025.1483667396919</v>
      </c>
      <c r="L20" s="15">
        <f>AVERAGE(L18:L19)</f>
        <v>81.045670995671003</v>
      </c>
      <c r="M20" s="15">
        <f>AVERAGE(M18:M19)</f>
        <v>54.875</v>
      </c>
      <c r="O20" t="s">
        <v>180</v>
      </c>
      <c r="P20">
        <f>[2]!MAD(J2:J25)</f>
        <v>2.6918200841610847E-2</v>
      </c>
      <c r="R20" t="s">
        <v>184</v>
      </c>
      <c r="S20" t="s">
        <v>191</v>
      </c>
      <c r="X20" t="s">
        <v>180</v>
      </c>
      <c r="Y20">
        <f>[2]!MAD(K2:K25)</f>
        <v>264.35356577723331</v>
      </c>
      <c r="Z20">
        <f>[2]!MAD(L2:L25)</f>
        <v>10.469854714251262</v>
      </c>
      <c r="AB20" t="s">
        <v>184</v>
      </c>
      <c r="AC20" t="s">
        <v>191</v>
      </c>
      <c r="AD20" t="s">
        <v>191</v>
      </c>
    </row>
    <row r="21" spans="1:30" x14ac:dyDescent="0.3">
      <c r="A21" s="117" t="s">
        <v>161</v>
      </c>
      <c r="B21" s="118"/>
      <c r="C21" s="118"/>
      <c r="D21" s="118"/>
      <c r="E21" s="118"/>
      <c r="F21" s="118"/>
      <c r="G21" s="118"/>
      <c r="H21" s="118"/>
      <c r="I21" s="119"/>
      <c r="J21" s="15">
        <f>STDEV(J18:J19)</f>
        <v>1.4549257709868726E-2</v>
      </c>
      <c r="K21" s="15">
        <f>STDEV(K18:K19)</f>
        <v>186.196731928915</v>
      </c>
      <c r="L21" s="15">
        <f>STDEV(L18:L19)</f>
        <v>5.1119840890970651E-2</v>
      </c>
      <c r="M21" s="15">
        <f>STDEV(M18:M19)</f>
        <v>1.4071424945612259</v>
      </c>
      <c r="O21" s="53" t="s">
        <v>181</v>
      </c>
      <c r="P21" s="53">
        <f>[2]!IQR(J2:J25,FALSE)</f>
        <v>6.1088140666637272E-2</v>
      </c>
      <c r="X21" s="53" t="s">
        <v>181</v>
      </c>
      <c r="Y21" s="53">
        <f>[2]!IQR(K2:K25,FALSE)</f>
        <v>507.54391958483041</v>
      </c>
      <c r="Z21" s="53">
        <f>[2]!IQR(L2:L25,FALSE)</f>
        <v>38.548813715918811</v>
      </c>
    </row>
    <row r="22" spans="1:30" x14ac:dyDescent="0.3">
      <c r="A22" s="10">
        <v>21</v>
      </c>
      <c r="B22" s="10" t="s">
        <v>141</v>
      </c>
      <c r="C22" s="19" t="s">
        <v>126</v>
      </c>
      <c r="D22" s="10">
        <v>1.63</v>
      </c>
      <c r="E22" s="10">
        <v>122.7</v>
      </c>
      <c r="F22" s="10">
        <v>13.18</v>
      </c>
      <c r="G22" s="10">
        <v>133</v>
      </c>
      <c r="H22" s="10">
        <f t="shared" ref="H22:H23" si="7">E22-D22</f>
        <v>121.07000000000001</v>
      </c>
      <c r="I22" s="10">
        <f t="shared" ref="I22:I23" si="8">F22-D22</f>
        <v>11.55</v>
      </c>
      <c r="J22" s="15">
        <f t="shared" ref="J22:J23" si="9">I22/G22</f>
        <v>8.6842105263157901E-2</v>
      </c>
      <c r="K22" s="15">
        <f t="shared" ref="K22:K23" si="10">(H22-I22)/I22*100</f>
        <v>948.22510822510822</v>
      </c>
      <c r="L22" s="15">
        <f t="shared" ref="L22:L23" si="11">J22*K22</f>
        <v>82.345864661654147</v>
      </c>
      <c r="M22" s="74">
        <v>54.15</v>
      </c>
    </row>
    <row r="23" spans="1:30" x14ac:dyDescent="0.3">
      <c r="A23" s="10">
        <v>24</v>
      </c>
      <c r="B23" s="10"/>
      <c r="C23" s="19" t="s">
        <v>129</v>
      </c>
      <c r="D23" s="10">
        <v>1.27</v>
      </c>
      <c r="E23" s="10">
        <v>142.56</v>
      </c>
      <c r="F23" s="10">
        <v>15.08</v>
      </c>
      <c r="G23" s="10">
        <v>138</v>
      </c>
      <c r="H23" s="10">
        <f t="shared" si="7"/>
        <v>141.29</v>
      </c>
      <c r="I23" s="10">
        <f t="shared" si="8"/>
        <v>13.81</v>
      </c>
      <c r="J23" s="15">
        <f t="shared" si="9"/>
        <v>0.10007246376811595</v>
      </c>
      <c r="K23" s="15">
        <f t="shared" si="10"/>
        <v>923.09920347574212</v>
      </c>
      <c r="L23" s="15">
        <f t="shared" si="11"/>
        <v>92.376811594202891</v>
      </c>
      <c r="M23" s="74">
        <v>53.14</v>
      </c>
    </row>
    <row r="24" spans="1:30" x14ac:dyDescent="0.3">
      <c r="A24" s="117" t="s">
        <v>160</v>
      </c>
      <c r="B24" s="118"/>
      <c r="C24" s="118"/>
      <c r="D24" s="118"/>
      <c r="E24" s="118"/>
      <c r="F24" s="118"/>
      <c r="G24" s="118"/>
      <c r="H24" s="118"/>
      <c r="I24" s="119"/>
      <c r="J24" s="15">
        <f>AVERAGE(J22:J23)</f>
        <v>9.3457284515636924E-2</v>
      </c>
      <c r="K24" s="15">
        <f>AVERAGE(K22:K23)</f>
        <v>935.66215585042517</v>
      </c>
      <c r="L24" s="15">
        <f>AVERAGE(L22:L23)</f>
        <v>87.361338127928519</v>
      </c>
      <c r="M24" s="15">
        <f>AVERAGE(M22:M23)</f>
        <v>53.644999999999996</v>
      </c>
    </row>
    <row r="25" spans="1:30" x14ac:dyDescent="0.3">
      <c r="A25" s="117" t="s">
        <v>161</v>
      </c>
      <c r="B25" s="118"/>
      <c r="C25" s="118"/>
      <c r="D25" s="118"/>
      <c r="E25" s="118"/>
      <c r="F25" s="118"/>
      <c r="G25" s="118"/>
      <c r="H25" s="118"/>
      <c r="I25" s="119"/>
      <c r="J25" s="15">
        <f>STDEV(J22:J23)</f>
        <v>9.3552762163849473E-3</v>
      </c>
      <c r="K25" s="15">
        <f>STDEV(K22:K23)</f>
        <v>17.76669763172405</v>
      </c>
      <c r="L25" s="15">
        <f>STDEV(L22:L23)</f>
        <v>7.092950597727615</v>
      </c>
      <c r="M25" s="15">
        <f>STDEV(M22:M23)</f>
        <v>0.71417784899841164</v>
      </c>
    </row>
  </sheetData>
  <mergeCells count="12">
    <mergeCell ref="A21:I21"/>
    <mergeCell ref="A24:I24"/>
    <mergeCell ref="A25:I25"/>
    <mergeCell ref="A4:I4"/>
    <mergeCell ref="A5:I5"/>
    <mergeCell ref="A8:I8"/>
    <mergeCell ref="A9:I9"/>
    <mergeCell ref="A12:I12"/>
    <mergeCell ref="A13:I13"/>
    <mergeCell ref="A16:I16"/>
    <mergeCell ref="A17:I17"/>
    <mergeCell ref="A20:I20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L19" sqref="L19"/>
    </sheetView>
  </sheetViews>
  <sheetFormatPr defaultRowHeight="14.4" x14ac:dyDescent="0.3"/>
  <cols>
    <col min="2" max="2" width="18.88671875" bestFit="1" customWidth="1"/>
    <col min="3" max="3" width="10.5546875" bestFit="1" customWidth="1"/>
    <col min="6" max="6" width="18.88671875" bestFit="1" customWidth="1"/>
    <col min="7" max="7" width="11.6640625" customWidth="1"/>
    <col min="8" max="8" width="12.77734375" bestFit="1" customWidth="1"/>
  </cols>
  <sheetData>
    <row r="1" spans="1:9" ht="28.8" x14ac:dyDescent="0.3">
      <c r="A1" s="38" t="s">
        <v>55</v>
      </c>
      <c r="B1" s="38" t="s">
        <v>142</v>
      </c>
      <c r="C1" s="39" t="s">
        <v>143</v>
      </c>
      <c r="D1" s="39" t="s">
        <v>56</v>
      </c>
      <c r="E1" s="39" t="s">
        <v>144</v>
      </c>
      <c r="F1" s="39" t="s">
        <v>145</v>
      </c>
      <c r="G1" s="39" t="s">
        <v>146</v>
      </c>
      <c r="H1" s="39" t="s">
        <v>147</v>
      </c>
      <c r="I1" s="48" t="s">
        <v>159</v>
      </c>
    </row>
    <row r="2" spans="1:9" x14ac:dyDescent="0.3">
      <c r="A2" s="43">
        <v>1</v>
      </c>
      <c r="B2" s="40">
        <v>43303</v>
      </c>
      <c r="C2" s="41">
        <v>43795</v>
      </c>
      <c r="D2" s="34" t="s">
        <v>140</v>
      </c>
      <c r="E2" s="34">
        <v>1</v>
      </c>
      <c r="F2" s="34">
        <v>770</v>
      </c>
      <c r="G2" s="34">
        <v>763</v>
      </c>
      <c r="H2" s="34" t="s">
        <v>148</v>
      </c>
      <c r="I2" s="50">
        <f>F2-(AVERAGE(G2:G4))</f>
        <v>5.6666666666666288</v>
      </c>
    </row>
    <row r="3" spans="1:9" x14ac:dyDescent="0.3">
      <c r="A3" s="43">
        <v>2</v>
      </c>
      <c r="B3" s="42"/>
      <c r="C3" s="35"/>
      <c r="D3" s="35"/>
      <c r="E3" s="35">
        <v>2</v>
      </c>
      <c r="F3" s="35"/>
      <c r="G3" s="35">
        <v>764</v>
      </c>
      <c r="H3" s="35"/>
      <c r="I3" s="50"/>
    </row>
    <row r="4" spans="1:9" x14ac:dyDescent="0.3">
      <c r="A4" s="43">
        <v>3</v>
      </c>
      <c r="B4" s="44"/>
      <c r="C4" s="36"/>
      <c r="D4" s="36"/>
      <c r="E4" s="36">
        <v>3</v>
      </c>
      <c r="F4" s="36"/>
      <c r="G4" s="36">
        <v>766</v>
      </c>
      <c r="H4" s="36"/>
      <c r="I4" s="50"/>
    </row>
    <row r="5" spans="1:9" x14ac:dyDescent="0.3">
      <c r="A5" s="43">
        <v>4</v>
      </c>
      <c r="B5" s="40">
        <v>43308</v>
      </c>
      <c r="C5" s="41">
        <v>43794</v>
      </c>
      <c r="D5" s="34" t="s">
        <v>137</v>
      </c>
      <c r="E5" s="34">
        <v>1</v>
      </c>
      <c r="F5" s="34">
        <v>650</v>
      </c>
      <c r="G5" s="34">
        <v>639</v>
      </c>
      <c r="H5" s="34" t="s">
        <v>148</v>
      </c>
      <c r="I5" s="50">
        <f>F5-(AVERAGE(G5:G7))</f>
        <v>6.3333333333333712</v>
      </c>
    </row>
    <row r="6" spans="1:9" x14ac:dyDescent="0.3">
      <c r="A6" s="43">
        <v>5</v>
      </c>
      <c r="B6" s="35"/>
      <c r="C6" s="35"/>
      <c r="D6" s="35"/>
      <c r="E6" s="35">
        <v>2</v>
      </c>
      <c r="F6" s="35"/>
      <c r="G6" s="35">
        <v>650</v>
      </c>
      <c r="H6" s="35"/>
      <c r="I6" s="50"/>
    </row>
    <row r="7" spans="1:9" x14ac:dyDescent="0.3">
      <c r="A7" s="43">
        <v>6</v>
      </c>
      <c r="B7" s="36"/>
      <c r="C7" s="36"/>
      <c r="D7" s="36"/>
      <c r="E7" s="36">
        <v>3</v>
      </c>
      <c r="F7" s="36"/>
      <c r="G7" s="36">
        <v>642</v>
      </c>
      <c r="H7" s="36"/>
      <c r="I7" s="50"/>
    </row>
    <row r="8" spans="1:9" x14ac:dyDescent="0.3">
      <c r="A8" s="43">
        <v>7</v>
      </c>
      <c r="B8" s="40">
        <v>43307</v>
      </c>
      <c r="C8" s="41">
        <v>43791</v>
      </c>
      <c r="D8" s="34" t="s">
        <v>132</v>
      </c>
      <c r="E8" s="34">
        <v>1</v>
      </c>
      <c r="F8" s="34">
        <v>610</v>
      </c>
      <c r="G8" s="34">
        <v>604</v>
      </c>
      <c r="H8" s="34" t="s">
        <v>148</v>
      </c>
      <c r="I8" s="50">
        <f>F8-(AVERAGE(G8:G10))</f>
        <v>4.6666666666666288</v>
      </c>
    </row>
    <row r="9" spans="1:9" x14ac:dyDescent="0.3">
      <c r="A9" s="43">
        <v>8</v>
      </c>
      <c r="B9" s="35"/>
      <c r="C9" s="35"/>
      <c r="D9" s="35"/>
      <c r="E9" s="35">
        <v>2</v>
      </c>
      <c r="F9" s="35"/>
      <c r="G9" s="35">
        <v>606</v>
      </c>
      <c r="H9" s="35"/>
      <c r="I9" s="50"/>
    </row>
    <row r="10" spans="1:9" x14ac:dyDescent="0.3">
      <c r="A10" s="43">
        <v>9</v>
      </c>
      <c r="B10" s="36"/>
      <c r="C10" s="36"/>
      <c r="D10" s="36"/>
      <c r="E10" s="36">
        <v>3</v>
      </c>
      <c r="F10" s="36"/>
      <c r="G10" s="36">
        <v>606</v>
      </c>
      <c r="H10" s="36"/>
      <c r="I10" s="50"/>
    </row>
    <row r="11" spans="1:9" x14ac:dyDescent="0.3">
      <c r="A11" s="43">
        <v>10</v>
      </c>
      <c r="B11" s="40">
        <v>43302</v>
      </c>
      <c r="C11" s="41">
        <v>43790</v>
      </c>
      <c r="D11" s="34" t="s">
        <v>127</v>
      </c>
      <c r="E11" s="34">
        <v>1</v>
      </c>
      <c r="F11" s="35">
        <v>893</v>
      </c>
      <c r="G11" s="34">
        <v>890</v>
      </c>
      <c r="H11" s="34" t="s">
        <v>148</v>
      </c>
      <c r="I11" s="50">
        <f>F11-(AVERAGE(G11:G13))</f>
        <v>2.3333333333333712</v>
      </c>
    </row>
    <row r="12" spans="1:9" x14ac:dyDescent="0.3">
      <c r="A12" s="43">
        <v>11</v>
      </c>
      <c r="B12" s="35"/>
      <c r="C12" s="35"/>
      <c r="D12" s="35"/>
      <c r="E12" s="35">
        <v>2</v>
      </c>
      <c r="F12" s="35"/>
      <c r="G12" s="34">
        <v>891</v>
      </c>
      <c r="H12" s="35"/>
      <c r="I12" s="50"/>
    </row>
    <row r="13" spans="1:9" x14ac:dyDescent="0.3">
      <c r="A13" s="43">
        <v>12</v>
      </c>
      <c r="B13" s="36"/>
      <c r="C13" s="36"/>
      <c r="D13" s="36"/>
      <c r="E13" s="36">
        <v>3</v>
      </c>
      <c r="F13" s="36"/>
      <c r="G13" s="36">
        <v>891</v>
      </c>
      <c r="H13" s="36"/>
      <c r="I13" s="50"/>
    </row>
    <row r="14" spans="1:9" x14ac:dyDescent="0.3">
      <c r="A14" s="43">
        <v>13</v>
      </c>
      <c r="B14" s="40">
        <v>43231</v>
      </c>
      <c r="C14" s="41">
        <v>43791</v>
      </c>
      <c r="D14" s="34" t="s">
        <v>131</v>
      </c>
      <c r="E14" s="34">
        <v>1</v>
      </c>
      <c r="F14" s="34">
        <v>384</v>
      </c>
      <c r="G14" s="34">
        <v>381</v>
      </c>
      <c r="H14" s="34" t="s">
        <v>148</v>
      </c>
      <c r="I14" s="50">
        <f>F14-(AVERAGE(G14:G16))</f>
        <v>1.6666666666666856</v>
      </c>
    </row>
    <row r="15" spans="1:9" x14ac:dyDescent="0.3">
      <c r="A15" s="43">
        <v>14</v>
      </c>
      <c r="B15" s="35"/>
      <c r="C15" s="35"/>
      <c r="D15" s="35"/>
      <c r="E15" s="35">
        <v>2</v>
      </c>
      <c r="F15" s="35"/>
      <c r="G15" s="35">
        <v>380</v>
      </c>
      <c r="H15" s="35"/>
      <c r="I15" s="50"/>
    </row>
    <row r="16" spans="1:9" x14ac:dyDescent="0.3">
      <c r="A16" s="43">
        <v>15</v>
      </c>
      <c r="B16" s="36"/>
      <c r="C16" s="36"/>
      <c r="D16" s="36"/>
      <c r="E16" s="36">
        <v>3</v>
      </c>
      <c r="F16" s="36"/>
      <c r="G16" s="36">
        <v>386</v>
      </c>
      <c r="H16" s="36"/>
      <c r="I16" s="50"/>
    </row>
    <row r="17" spans="1:9" x14ac:dyDescent="0.3">
      <c r="A17" s="43">
        <v>16</v>
      </c>
      <c r="B17" s="41">
        <v>43229</v>
      </c>
      <c r="C17" s="41">
        <v>43796</v>
      </c>
      <c r="D17" s="34" t="s">
        <v>141</v>
      </c>
      <c r="E17" s="34">
        <v>1</v>
      </c>
      <c r="F17" s="34">
        <v>113</v>
      </c>
      <c r="G17" s="34">
        <v>111.5</v>
      </c>
      <c r="H17" s="34" t="s">
        <v>148</v>
      </c>
      <c r="I17" s="50">
        <f>F17-(AVERAGE(G17:G19))</f>
        <v>1.5</v>
      </c>
    </row>
    <row r="18" spans="1:9" x14ac:dyDescent="0.3">
      <c r="A18" s="43">
        <v>17</v>
      </c>
      <c r="B18" s="35"/>
      <c r="C18" s="35"/>
      <c r="D18" s="35"/>
      <c r="E18" s="35">
        <v>2</v>
      </c>
      <c r="F18" s="35"/>
      <c r="G18" s="35">
        <v>112</v>
      </c>
      <c r="H18" s="35"/>
      <c r="I18" s="50"/>
    </row>
    <row r="19" spans="1:9" x14ac:dyDescent="0.3">
      <c r="A19" s="43">
        <v>18</v>
      </c>
      <c r="B19" s="36"/>
      <c r="C19" s="36"/>
      <c r="D19" s="36"/>
      <c r="E19" s="36">
        <v>3</v>
      </c>
      <c r="F19" s="36"/>
      <c r="G19" s="36">
        <v>111</v>
      </c>
      <c r="H19" s="36"/>
      <c r="I19" s="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T1</vt:lpstr>
      <vt:lpstr>T2</vt:lpstr>
      <vt:lpstr>T3</vt:lpstr>
      <vt:lpstr>TT1</vt:lpstr>
      <vt:lpstr>TT2</vt:lpstr>
      <vt:lpstr>TT3</vt:lpstr>
      <vt:lpstr>KH</vt:lpstr>
      <vt:lpstr>Resume KH</vt:lpstr>
      <vt:lpstr>Resume All</vt:lpstr>
      <vt:lpstr>Loss C</vt:lpstr>
      <vt:lpstr>Fisik &amp; C</vt:lpstr>
      <vt:lpstr>Peat Dept, Subsiden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Nuriman</cp:lastModifiedBy>
  <dcterms:created xsi:type="dcterms:W3CDTF">2019-11-24T01:04:15Z</dcterms:created>
  <dcterms:modified xsi:type="dcterms:W3CDTF">2023-11-26T16:02:41Z</dcterms:modified>
</cp:coreProperties>
</file>